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foro\OneDrive\Desktop\Feed Formulation2\"/>
    </mc:Choice>
  </mc:AlternateContent>
  <xr:revisionPtr revIDLastSave="0" documentId="13_ncr:1_{D7A92F26-B6B1-46C2-9E2B-531EF428C8E2}" xr6:coauthVersionLast="47" xr6:coauthVersionMax="47" xr10:uidLastSave="{00000000-0000-0000-0000-000000000000}"/>
  <bookViews>
    <workbookView xWindow="-110" yWindow="-110" windowWidth="19420" windowHeight="10300" tabRatio="599" activeTab="2" xr2:uid="{00000000-000D-0000-FFFF-FFFF00000000}"/>
  </bookViews>
  <sheets>
    <sheet name="Cat Premix" sheetId="43" r:id="rId1"/>
    <sheet name="Dog Premix" sheetId="44" r:id="rId2"/>
    <sheet name="Cat" sheetId="41" r:id="rId3"/>
    <sheet name="Dog" sheetId="42" r:id="rId4"/>
  </sheets>
  <definedNames>
    <definedName name="solver_adj" localSheetId="2" hidden="1">Cat!$F$5:$F$38</definedName>
    <definedName name="solver_adj" localSheetId="3" hidden="1">Dog!$F$5:$F$37</definedName>
    <definedName name="solver_cvg" localSheetId="2" hidden="1">0.0001</definedName>
    <definedName name="solver_cvg" localSheetId="3" hidden="1">0.0001</definedName>
    <definedName name="solver_drv" localSheetId="2" hidden="1">1</definedName>
    <definedName name="solver_drv" localSheetId="3" hidden="1">1</definedName>
    <definedName name="solver_eng" localSheetId="2" hidden="1">2</definedName>
    <definedName name="solver_eng" localSheetId="3" hidden="1">2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2" hidden="1">Cat!$F$39</definedName>
    <definedName name="solver_lhs1" localSheetId="3" hidden="1">Dog!$F$38</definedName>
    <definedName name="solver_lhs2" localSheetId="2" hidden="1">Cat!$F$5:$F$38</definedName>
    <definedName name="solver_lhs2" localSheetId="3" hidden="1">Dog!$F$5:$F$37</definedName>
    <definedName name="solver_lhs3" localSheetId="2" hidden="1">Cat!$F$5:$F$38</definedName>
    <definedName name="solver_lhs3" localSheetId="3" hidden="1">Dog!$F$5:$F$37</definedName>
    <definedName name="solver_lhs4" localSheetId="2" hidden="1">Cat!$T$5:$T$32</definedName>
    <definedName name="solver_lhs4" localSheetId="3" hidden="1">Dog!$T$5:$T$31</definedName>
    <definedName name="solver_lhs5" localSheetId="2" hidden="1">Cat!$T$5:$T$32</definedName>
    <definedName name="solver_lhs5" localSheetId="3" hidden="1">Dog!$T$5:$T$31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5</definedName>
    <definedName name="solver_num" localSheetId="3" hidden="1">5</definedName>
    <definedName name="solver_nwt" localSheetId="2" hidden="1">1</definedName>
    <definedName name="solver_nwt" localSheetId="3" hidden="1">1</definedName>
    <definedName name="solver_opt" localSheetId="2" hidden="1">Cat!$C$2</definedName>
    <definedName name="solver_opt" localSheetId="3" hidden="1">Dog!$C$2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el1" localSheetId="2" hidden="1">2</definedName>
    <definedName name="solver_rel1" localSheetId="3" hidden="1">2</definedName>
    <definedName name="solver_rel2" localSheetId="2" hidden="1">1</definedName>
    <definedName name="solver_rel2" localSheetId="3" hidden="1">1</definedName>
    <definedName name="solver_rel3" localSheetId="2" hidden="1">3</definedName>
    <definedName name="solver_rel3" localSheetId="3" hidden="1">3</definedName>
    <definedName name="solver_rel4" localSheetId="2" hidden="1">1</definedName>
    <definedName name="solver_rel4" localSheetId="3" hidden="1">1</definedName>
    <definedName name="solver_rel5" localSheetId="2" hidden="1">3</definedName>
    <definedName name="solver_rel5" localSheetId="3" hidden="1">3</definedName>
    <definedName name="solver_rhs1" localSheetId="2" hidden="1">100</definedName>
    <definedName name="solver_rhs1" localSheetId="3" hidden="1">100</definedName>
    <definedName name="solver_rhs2" localSheetId="2" hidden="1">Cat!$K$5:$K$38</definedName>
    <definedName name="solver_rhs2" localSheetId="3" hidden="1">Dog!$K$5:$K$37</definedName>
    <definedName name="solver_rhs3" localSheetId="2" hidden="1">Cat!$J$5:$J$38</definedName>
    <definedName name="solver_rhs3" localSheetId="3" hidden="1">Dog!$J$5:$J$37</definedName>
    <definedName name="solver_rhs4" localSheetId="2" hidden="1">Cat!$R$5:$R$32</definedName>
    <definedName name="solver_rhs4" localSheetId="3" hidden="1">Dog!$R$5:$R$31</definedName>
    <definedName name="solver_rhs5" localSheetId="2" hidden="1">Cat!$Q$5:$Q$32</definedName>
    <definedName name="solver_rhs5" localSheetId="3" hidden="1">Dog!$Q$5:$Q$31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44" l="1"/>
  <c r="H35" i="44"/>
  <c r="E34" i="44"/>
  <c r="J34" i="44" s="1"/>
  <c r="E33" i="44"/>
  <c r="F33" i="44" s="1"/>
  <c r="F32" i="44"/>
  <c r="E32" i="44"/>
  <c r="J32" i="44" s="1"/>
  <c r="L31" i="44"/>
  <c r="J31" i="44"/>
  <c r="H31" i="44"/>
  <c r="F31" i="44"/>
  <c r="E31" i="44"/>
  <c r="F30" i="44"/>
  <c r="E30" i="44"/>
  <c r="J30" i="44" s="1"/>
  <c r="E29" i="44"/>
  <c r="J29" i="44" s="1"/>
  <c r="J28" i="44"/>
  <c r="H28" i="44" s="1"/>
  <c r="F28" i="44"/>
  <c r="E28" i="44"/>
  <c r="L20" i="44"/>
  <c r="H20" i="44"/>
  <c r="E19" i="44"/>
  <c r="J19" i="44" s="1"/>
  <c r="J18" i="44"/>
  <c r="L18" i="44" s="1"/>
  <c r="E18" i="44"/>
  <c r="F18" i="44" s="1"/>
  <c r="E17" i="44"/>
  <c r="F17" i="44" s="1"/>
  <c r="F16" i="44"/>
  <c r="E16" i="44"/>
  <c r="J16" i="44" s="1"/>
  <c r="L15" i="44"/>
  <c r="J15" i="44"/>
  <c r="H15" i="44"/>
  <c r="F15" i="44"/>
  <c r="E15" i="44"/>
  <c r="J14" i="44"/>
  <c r="L14" i="44" s="1"/>
  <c r="F14" i="44"/>
  <c r="E14" i="44"/>
  <c r="E13" i="44"/>
  <c r="J13" i="44" s="1"/>
  <c r="J12" i="44"/>
  <c r="H12" i="44" s="1"/>
  <c r="F12" i="44"/>
  <c r="E12" i="44"/>
  <c r="E11" i="44"/>
  <c r="J11" i="44" s="1"/>
  <c r="J10" i="44"/>
  <c r="L10" i="44" s="1"/>
  <c r="E10" i="44"/>
  <c r="F10" i="44" s="1"/>
  <c r="E9" i="44"/>
  <c r="F9" i="44" s="1"/>
  <c r="F8" i="44"/>
  <c r="E8" i="44"/>
  <c r="J8" i="44" s="1"/>
  <c r="L7" i="44"/>
  <c r="J7" i="44"/>
  <c r="H7" i="44"/>
  <c r="F7" i="44"/>
  <c r="E7" i="44"/>
  <c r="J6" i="44"/>
  <c r="L6" i="44" s="1"/>
  <c r="F6" i="44"/>
  <c r="E6" i="44"/>
  <c r="E5" i="44"/>
  <c r="J5" i="44" s="1"/>
  <c r="L35" i="43"/>
  <c r="H35" i="43"/>
  <c r="J34" i="43"/>
  <c r="L34" i="43" s="1"/>
  <c r="F34" i="43"/>
  <c r="E34" i="43"/>
  <c r="E33" i="43"/>
  <c r="F33" i="43" s="1"/>
  <c r="J32" i="43"/>
  <c r="L32" i="43" s="1"/>
  <c r="E32" i="43"/>
  <c r="F32" i="43" s="1"/>
  <c r="E31" i="43"/>
  <c r="J31" i="43" s="1"/>
  <c r="F30" i="43"/>
  <c r="E30" i="43"/>
  <c r="J30" i="43" s="1"/>
  <c r="F29" i="43"/>
  <c r="E29" i="43"/>
  <c r="J29" i="43" s="1"/>
  <c r="J28" i="43"/>
  <c r="H28" i="43" s="1"/>
  <c r="F28" i="43"/>
  <c r="E28" i="43"/>
  <c r="L20" i="43"/>
  <c r="H20" i="43"/>
  <c r="E19" i="43"/>
  <c r="J19" i="43" s="1"/>
  <c r="J18" i="43"/>
  <c r="L18" i="43" s="1"/>
  <c r="F18" i="43"/>
  <c r="E18" i="43"/>
  <c r="E17" i="43"/>
  <c r="F17" i="43" s="1"/>
  <c r="J16" i="43"/>
  <c r="L16" i="43" s="1"/>
  <c r="E16" i="43"/>
  <c r="F16" i="43" s="1"/>
  <c r="E15" i="43"/>
  <c r="J15" i="43" s="1"/>
  <c r="F14" i="43"/>
  <c r="E14" i="43"/>
  <c r="J14" i="43" s="1"/>
  <c r="F13" i="43"/>
  <c r="E13" i="43"/>
  <c r="J13" i="43" s="1"/>
  <c r="J12" i="43"/>
  <c r="H12" i="43" s="1"/>
  <c r="F12" i="43"/>
  <c r="E12" i="43"/>
  <c r="E11" i="43"/>
  <c r="J11" i="43" s="1"/>
  <c r="J10" i="43"/>
  <c r="L10" i="43" s="1"/>
  <c r="F10" i="43"/>
  <c r="E10" i="43"/>
  <c r="E9" i="43"/>
  <c r="F9" i="43" s="1"/>
  <c r="J8" i="43"/>
  <c r="L8" i="43" s="1"/>
  <c r="E8" i="43"/>
  <c r="F8" i="43" s="1"/>
  <c r="E7" i="43"/>
  <c r="J7" i="43" s="1"/>
  <c r="F6" i="43"/>
  <c r="E6" i="43"/>
  <c r="J6" i="43" s="1"/>
  <c r="F5" i="43"/>
  <c r="E5" i="43"/>
  <c r="J5" i="43" s="1"/>
  <c r="Q32" i="41"/>
  <c r="R32" i="41"/>
  <c r="CX32" i="41"/>
  <c r="DD32" i="41"/>
  <c r="DB32" i="41"/>
  <c r="CZ32" i="41"/>
  <c r="CV32" i="41"/>
  <c r="CT32" i="41"/>
  <c r="CR32" i="41"/>
  <c r="CP32" i="41"/>
  <c r="CN32" i="41"/>
  <c r="CL32" i="41"/>
  <c r="CJ32" i="41"/>
  <c r="CH32" i="41"/>
  <c r="CF32" i="41"/>
  <c r="CD32" i="41"/>
  <c r="CB32" i="41"/>
  <c r="BZ32" i="41"/>
  <c r="BX32" i="41"/>
  <c r="BV32" i="41"/>
  <c r="BT32" i="41"/>
  <c r="AP32" i="41"/>
  <c r="AN32" i="41"/>
  <c r="AF32" i="41"/>
  <c r="AD32" i="41"/>
  <c r="J32" i="41"/>
  <c r="K32" i="41"/>
  <c r="C32" i="41"/>
  <c r="CX5" i="41"/>
  <c r="CL5" i="42"/>
  <c r="O22" i="42"/>
  <c r="Q22" i="42" s="1"/>
  <c r="O21" i="42"/>
  <c r="Q21" i="42" s="1"/>
  <c r="O20" i="42"/>
  <c r="Q20" i="42" s="1"/>
  <c r="O19" i="42"/>
  <c r="O18" i="42"/>
  <c r="Q18" i="42" s="1"/>
  <c r="O17" i="42"/>
  <c r="Q17" i="42" s="1"/>
  <c r="O16" i="42"/>
  <c r="Q16" i="42" s="1"/>
  <c r="O15" i="42"/>
  <c r="Q15" i="42" s="1"/>
  <c r="O14" i="42"/>
  <c r="Q14" i="42" s="1"/>
  <c r="O13" i="42"/>
  <c r="Q13" i="42" s="1"/>
  <c r="O12" i="42"/>
  <c r="Q12" i="42" s="1"/>
  <c r="Q19" i="42"/>
  <c r="W22" i="42"/>
  <c r="W21" i="42"/>
  <c r="W20" i="42"/>
  <c r="W19" i="42"/>
  <c r="W18" i="42"/>
  <c r="W17" i="42"/>
  <c r="W16" i="42"/>
  <c r="W15" i="42"/>
  <c r="W14" i="42"/>
  <c r="W13" i="42"/>
  <c r="W12" i="42"/>
  <c r="F38" i="42"/>
  <c r="E36" i="42" s="1"/>
  <c r="DB37" i="42"/>
  <c r="CZ37" i="42"/>
  <c r="CX37" i="42"/>
  <c r="CV37" i="42"/>
  <c r="CT37" i="42"/>
  <c r="CR37" i="42"/>
  <c r="CP37" i="42"/>
  <c r="CN37" i="42"/>
  <c r="CL37" i="42"/>
  <c r="CJ37" i="42"/>
  <c r="CH37" i="42"/>
  <c r="CF37" i="42"/>
  <c r="CD37" i="42"/>
  <c r="CB37" i="42"/>
  <c r="BZ37" i="42"/>
  <c r="BX37" i="42"/>
  <c r="BV37" i="42"/>
  <c r="BT37" i="42"/>
  <c r="AP37" i="42"/>
  <c r="AN37" i="42"/>
  <c r="AF37" i="42"/>
  <c r="AD37" i="42"/>
  <c r="K37" i="42"/>
  <c r="J37" i="42"/>
  <c r="C37" i="42"/>
  <c r="DB36" i="42"/>
  <c r="CZ36" i="42"/>
  <c r="CX36" i="42"/>
  <c r="CV36" i="42"/>
  <c r="CT36" i="42"/>
  <c r="CR36" i="42"/>
  <c r="CP36" i="42"/>
  <c r="CN36" i="42"/>
  <c r="CL36" i="42"/>
  <c r="CJ36" i="42"/>
  <c r="CH36" i="42"/>
  <c r="CF36" i="42"/>
  <c r="CD36" i="42"/>
  <c r="CB36" i="42"/>
  <c r="BZ36" i="42"/>
  <c r="BX36" i="42"/>
  <c r="BV36" i="42"/>
  <c r="BT36" i="42"/>
  <c r="AP36" i="42"/>
  <c r="AN36" i="42"/>
  <c r="AF36" i="42"/>
  <c r="AD36" i="42"/>
  <c r="K36" i="42"/>
  <c r="J36" i="42"/>
  <c r="C36" i="42"/>
  <c r="DB35" i="42"/>
  <c r="CZ35" i="42"/>
  <c r="CX35" i="42"/>
  <c r="CV35" i="42"/>
  <c r="CT35" i="42"/>
  <c r="CR35" i="42"/>
  <c r="CP35" i="42"/>
  <c r="CN35" i="42"/>
  <c r="CL35" i="42"/>
  <c r="CJ35" i="42"/>
  <c r="CH35" i="42"/>
  <c r="CF35" i="42"/>
  <c r="CD35" i="42"/>
  <c r="CB35" i="42"/>
  <c r="BZ35" i="42"/>
  <c r="BX35" i="42"/>
  <c r="BV35" i="42"/>
  <c r="BT35" i="42"/>
  <c r="AP35" i="42"/>
  <c r="AN35" i="42"/>
  <c r="AF35" i="42"/>
  <c r="AD35" i="42"/>
  <c r="K35" i="42"/>
  <c r="J35" i="42"/>
  <c r="C35" i="42"/>
  <c r="DB34" i="42"/>
  <c r="CZ34" i="42"/>
  <c r="CX34" i="42"/>
  <c r="CV34" i="42"/>
  <c r="CT34" i="42"/>
  <c r="CR34" i="42"/>
  <c r="CP34" i="42"/>
  <c r="CN34" i="42"/>
  <c r="CL34" i="42"/>
  <c r="CJ34" i="42"/>
  <c r="CH34" i="42"/>
  <c r="CF34" i="42"/>
  <c r="CD34" i="42"/>
  <c r="CB34" i="42"/>
  <c r="BZ34" i="42"/>
  <c r="BX34" i="42"/>
  <c r="BV34" i="42"/>
  <c r="BT34" i="42"/>
  <c r="AP34" i="42"/>
  <c r="AN34" i="42"/>
  <c r="AF34" i="42"/>
  <c r="AD34" i="42"/>
  <c r="K34" i="42"/>
  <c r="J34" i="42"/>
  <c r="C34" i="42"/>
  <c r="DB33" i="42"/>
  <c r="CZ33" i="42"/>
  <c r="CX33" i="42"/>
  <c r="CV33" i="42"/>
  <c r="CT33" i="42"/>
  <c r="CR33" i="42"/>
  <c r="CP33" i="42"/>
  <c r="CN33" i="42"/>
  <c r="CL33" i="42"/>
  <c r="CJ33" i="42"/>
  <c r="CH33" i="42"/>
  <c r="CF33" i="42"/>
  <c r="CD33" i="42"/>
  <c r="CB33" i="42"/>
  <c r="BZ33" i="42"/>
  <c r="BX33" i="42"/>
  <c r="BV33" i="42"/>
  <c r="BT33" i="42"/>
  <c r="AP33" i="42"/>
  <c r="AN33" i="42"/>
  <c r="AF33" i="42"/>
  <c r="AD33" i="42"/>
  <c r="K33" i="42"/>
  <c r="J33" i="42"/>
  <c r="C33" i="42"/>
  <c r="DB32" i="42"/>
  <c r="CZ32" i="42"/>
  <c r="CX32" i="42"/>
  <c r="CV32" i="42"/>
  <c r="CT32" i="42"/>
  <c r="CR32" i="42"/>
  <c r="CP32" i="42"/>
  <c r="CN32" i="42"/>
  <c r="CL32" i="42"/>
  <c r="CJ32" i="42"/>
  <c r="CH32" i="42"/>
  <c r="CF32" i="42"/>
  <c r="CD32" i="42"/>
  <c r="CB32" i="42"/>
  <c r="BZ32" i="42"/>
  <c r="BX32" i="42"/>
  <c r="BV32" i="42"/>
  <c r="BT32" i="42"/>
  <c r="AP32" i="42"/>
  <c r="AN32" i="42"/>
  <c r="AF32" i="42"/>
  <c r="AD32" i="42"/>
  <c r="K32" i="42"/>
  <c r="J32" i="42"/>
  <c r="C32" i="42"/>
  <c r="DB31" i="42"/>
  <c r="CZ31" i="42"/>
  <c r="CX31" i="42"/>
  <c r="CV31" i="42"/>
  <c r="CT31" i="42"/>
  <c r="CR31" i="42"/>
  <c r="CP31" i="42"/>
  <c r="CN31" i="42"/>
  <c r="CL31" i="42"/>
  <c r="CJ31" i="42"/>
  <c r="CH31" i="42"/>
  <c r="CF31" i="42"/>
  <c r="CD31" i="42"/>
  <c r="CB31" i="42"/>
  <c r="BZ31" i="42"/>
  <c r="BX31" i="42"/>
  <c r="BV31" i="42"/>
  <c r="BT31" i="42"/>
  <c r="AP31" i="42"/>
  <c r="AN31" i="42"/>
  <c r="AF31" i="42"/>
  <c r="AD31" i="42"/>
  <c r="R31" i="42"/>
  <c r="Q31" i="42"/>
  <c r="K31" i="42"/>
  <c r="J31" i="42"/>
  <c r="C31" i="42"/>
  <c r="DB30" i="42"/>
  <c r="CZ30" i="42"/>
  <c r="CX30" i="42"/>
  <c r="CV30" i="42"/>
  <c r="CT30" i="42"/>
  <c r="CR30" i="42"/>
  <c r="CP30" i="42"/>
  <c r="CN30" i="42"/>
  <c r="CL30" i="42"/>
  <c r="CI30" i="42"/>
  <c r="CJ30" i="42" s="1"/>
  <c r="CH30" i="42"/>
  <c r="CF30" i="42"/>
  <c r="CD30" i="42"/>
  <c r="CB30" i="42"/>
  <c r="BZ30" i="42"/>
  <c r="BX30" i="42"/>
  <c r="BV30" i="42"/>
  <c r="BT30" i="42"/>
  <c r="AP30" i="42"/>
  <c r="AN30" i="42"/>
  <c r="AF30" i="42"/>
  <c r="AD30" i="42"/>
  <c r="R30" i="42"/>
  <c r="Q30" i="42"/>
  <c r="K30" i="42"/>
  <c r="J30" i="42"/>
  <c r="C30" i="42"/>
  <c r="DB29" i="42"/>
  <c r="CZ29" i="42"/>
  <c r="CX29" i="42"/>
  <c r="CV29" i="42"/>
  <c r="CT29" i="42"/>
  <c r="CR29" i="42"/>
  <c r="CP29" i="42"/>
  <c r="CN29" i="42"/>
  <c r="CL29" i="42"/>
  <c r="CI29" i="42"/>
  <c r="CJ29" i="42" s="1"/>
  <c r="CH29" i="42"/>
  <c r="CF29" i="42"/>
  <c r="CD29" i="42"/>
  <c r="CB29" i="42"/>
  <c r="BZ29" i="42"/>
  <c r="BX29" i="42"/>
  <c r="BV29" i="42"/>
  <c r="BT29" i="42"/>
  <c r="AP29" i="42"/>
  <c r="AN29" i="42"/>
  <c r="AF29" i="42"/>
  <c r="AD29" i="42"/>
  <c r="R29" i="42"/>
  <c r="Q29" i="42"/>
  <c r="K29" i="42"/>
  <c r="J29" i="42"/>
  <c r="C29" i="42"/>
  <c r="DB28" i="42"/>
  <c r="CZ28" i="42"/>
  <c r="CX28" i="42"/>
  <c r="CV28" i="42"/>
  <c r="CT28" i="42"/>
  <c r="CR28" i="42"/>
  <c r="CP28" i="42"/>
  <c r="CN28" i="42"/>
  <c r="CL28" i="42"/>
  <c r="CI28" i="42"/>
  <c r="CJ28" i="42" s="1"/>
  <c r="CH28" i="42"/>
  <c r="CF28" i="42"/>
  <c r="CD28" i="42"/>
  <c r="CB28" i="42"/>
  <c r="BZ28" i="42"/>
  <c r="BX28" i="42"/>
  <c r="BV28" i="42"/>
  <c r="BT28" i="42"/>
  <c r="AP28" i="42"/>
  <c r="AN28" i="42"/>
  <c r="AF28" i="42"/>
  <c r="AD28" i="42"/>
  <c r="R28" i="42"/>
  <c r="Q28" i="42"/>
  <c r="K28" i="42"/>
  <c r="J28" i="42"/>
  <c r="C28" i="42"/>
  <c r="DB27" i="42"/>
  <c r="CZ27" i="42"/>
  <c r="CX27" i="42"/>
  <c r="CV27" i="42"/>
  <c r="CT27" i="42"/>
  <c r="CR27" i="42"/>
  <c r="CP27" i="42"/>
  <c r="CN27" i="42"/>
  <c r="CL27" i="42"/>
  <c r="CJ27" i="42"/>
  <c r="CH27" i="42"/>
  <c r="CF27" i="42"/>
  <c r="CD27" i="42"/>
  <c r="CB27" i="42"/>
  <c r="BZ27" i="42"/>
  <c r="BX27" i="42"/>
  <c r="BV27" i="42"/>
  <c r="BT27" i="42"/>
  <c r="AP27" i="42"/>
  <c r="AN27" i="42"/>
  <c r="AF27" i="42"/>
  <c r="AD27" i="42"/>
  <c r="R27" i="42"/>
  <c r="Q27" i="42"/>
  <c r="K27" i="42"/>
  <c r="J27" i="42"/>
  <c r="C27" i="42"/>
  <c r="DB26" i="42"/>
  <c r="CZ26" i="42"/>
  <c r="CX26" i="42"/>
  <c r="CV26" i="42"/>
  <c r="CT26" i="42"/>
  <c r="CR26" i="42"/>
  <c r="CP26" i="42"/>
  <c r="CN26" i="42"/>
  <c r="CL26" i="42"/>
  <c r="CJ26" i="42"/>
  <c r="CH26" i="42"/>
  <c r="CF26" i="42"/>
  <c r="CD26" i="42"/>
  <c r="CB26" i="42"/>
  <c r="BZ26" i="42"/>
  <c r="BW26" i="42"/>
  <c r="BX26" i="42" s="1"/>
  <c r="BV26" i="42"/>
  <c r="BT26" i="42"/>
  <c r="AP26" i="42"/>
  <c r="AN26" i="42"/>
  <c r="AF26" i="42"/>
  <c r="AD26" i="42"/>
  <c r="R26" i="42"/>
  <c r="Q26" i="42"/>
  <c r="K26" i="42"/>
  <c r="J26" i="42"/>
  <c r="C26" i="42"/>
  <c r="DB25" i="42"/>
  <c r="CZ25" i="42"/>
  <c r="CX25" i="42"/>
  <c r="CV25" i="42"/>
  <c r="CT25" i="42"/>
  <c r="CR25" i="42"/>
  <c r="CP25" i="42"/>
  <c r="CN25" i="42"/>
  <c r="CL25" i="42"/>
  <c r="CJ25" i="42"/>
  <c r="CH25" i="42"/>
  <c r="CF25" i="42"/>
  <c r="CD25" i="42"/>
  <c r="CB25" i="42"/>
  <c r="BZ25" i="42"/>
  <c r="BW25" i="42"/>
  <c r="BX25" i="42" s="1"/>
  <c r="BV25" i="42"/>
  <c r="BT25" i="42"/>
  <c r="AP25" i="42"/>
  <c r="AN25" i="42"/>
  <c r="AF25" i="42"/>
  <c r="AD25" i="42"/>
  <c r="R25" i="42"/>
  <c r="Q25" i="42"/>
  <c r="K25" i="42"/>
  <c r="J25" i="42"/>
  <c r="C25" i="42"/>
  <c r="DB24" i="42"/>
  <c r="CZ24" i="42"/>
  <c r="CX24" i="42"/>
  <c r="CV24" i="42"/>
  <c r="CT24" i="42"/>
  <c r="CR24" i="42"/>
  <c r="CP24" i="42"/>
  <c r="CN24" i="42"/>
  <c r="CL24" i="42"/>
  <c r="CJ24" i="42"/>
  <c r="CH24" i="42"/>
  <c r="CF24" i="42"/>
  <c r="CD24" i="42"/>
  <c r="CB24" i="42"/>
  <c r="BZ24" i="42"/>
  <c r="BX24" i="42"/>
  <c r="BV24" i="42"/>
  <c r="BT24" i="42"/>
  <c r="BH24" i="42"/>
  <c r="BF24" i="42"/>
  <c r="BD24" i="42"/>
  <c r="BB24" i="42"/>
  <c r="AP24" i="42"/>
  <c r="AN24" i="42"/>
  <c r="AF24" i="42"/>
  <c r="AD24" i="42"/>
  <c r="R24" i="42"/>
  <c r="Q24" i="42"/>
  <c r="K24" i="42"/>
  <c r="J24" i="42"/>
  <c r="C24" i="42"/>
  <c r="DB23" i="42"/>
  <c r="CZ23" i="42"/>
  <c r="CX23" i="42"/>
  <c r="CV23" i="42"/>
  <c r="CT23" i="42"/>
  <c r="CR23" i="42"/>
  <c r="CP23" i="42"/>
  <c r="CN23" i="42"/>
  <c r="CL23" i="42"/>
  <c r="CJ23" i="42"/>
  <c r="CH23" i="42"/>
  <c r="CF23" i="42"/>
  <c r="CD23" i="42"/>
  <c r="CB23" i="42"/>
  <c r="BZ23" i="42"/>
  <c r="BX23" i="42"/>
  <c r="BV23" i="42"/>
  <c r="BT23" i="42"/>
  <c r="BH23" i="42"/>
  <c r="BF23" i="42"/>
  <c r="BD23" i="42"/>
  <c r="BB23" i="42"/>
  <c r="AP23" i="42"/>
  <c r="AN23" i="42"/>
  <c r="AF23" i="42"/>
  <c r="AD23" i="42"/>
  <c r="R23" i="42"/>
  <c r="Q23" i="42"/>
  <c r="K23" i="42"/>
  <c r="J23" i="42"/>
  <c r="C23" i="42"/>
  <c r="DB22" i="42"/>
  <c r="CZ22" i="42"/>
  <c r="CX22" i="42"/>
  <c r="CV22" i="42"/>
  <c r="CT22" i="42"/>
  <c r="CR22" i="42"/>
  <c r="CP22" i="42"/>
  <c r="CN22" i="42"/>
  <c r="CL22" i="42"/>
  <c r="CJ22" i="42"/>
  <c r="CH22" i="42"/>
  <c r="CF22" i="42"/>
  <c r="CD22" i="42"/>
  <c r="CB22" i="42"/>
  <c r="BZ22" i="42"/>
  <c r="BX22" i="42"/>
  <c r="BV22" i="42"/>
  <c r="BT22" i="42"/>
  <c r="BH22" i="42"/>
  <c r="BF22" i="42"/>
  <c r="BD22" i="42"/>
  <c r="BB22" i="42"/>
  <c r="AP22" i="42"/>
  <c r="AN22" i="42"/>
  <c r="AF22" i="42"/>
  <c r="AD22" i="42"/>
  <c r="R22" i="42"/>
  <c r="K22" i="42"/>
  <c r="J22" i="42"/>
  <c r="C22" i="42"/>
  <c r="DB21" i="42"/>
  <c r="CZ21" i="42"/>
  <c r="CX21" i="42"/>
  <c r="CV21" i="42"/>
  <c r="CT21" i="42"/>
  <c r="CR21" i="42"/>
  <c r="CP21" i="42"/>
  <c r="CN21" i="42"/>
  <c r="CL21" i="42"/>
  <c r="CJ21" i="42"/>
  <c r="CH21" i="42"/>
  <c r="CF21" i="42"/>
  <c r="CD21" i="42"/>
  <c r="CB21" i="42"/>
  <c r="BZ21" i="42"/>
  <c r="BX21" i="42"/>
  <c r="BV21" i="42"/>
  <c r="BT21" i="42"/>
  <c r="BH21" i="42"/>
  <c r="BF21" i="42"/>
  <c r="BD21" i="42"/>
  <c r="BB21" i="42"/>
  <c r="AZ21" i="42"/>
  <c r="AX21" i="42"/>
  <c r="AV21" i="42"/>
  <c r="AT21" i="42"/>
  <c r="AR21" i="42"/>
  <c r="AP21" i="42"/>
  <c r="AN21" i="42"/>
  <c r="AF21" i="42"/>
  <c r="AD21" i="42"/>
  <c r="R21" i="42"/>
  <c r="K21" i="42"/>
  <c r="J21" i="42"/>
  <c r="C21" i="42"/>
  <c r="DB20" i="42"/>
  <c r="CZ20" i="42"/>
  <c r="CX20" i="42"/>
  <c r="CV20" i="42"/>
  <c r="CT20" i="42"/>
  <c r="CR20" i="42"/>
  <c r="CP20" i="42"/>
  <c r="CN20" i="42"/>
  <c r="CL20" i="42"/>
  <c r="CJ20" i="42"/>
  <c r="CH20" i="42"/>
  <c r="CF20" i="42"/>
  <c r="CD20" i="42"/>
  <c r="CB20" i="42"/>
  <c r="BZ20" i="42"/>
  <c r="BX20" i="42"/>
  <c r="BV20" i="42"/>
  <c r="BT20" i="42"/>
  <c r="BH20" i="42"/>
  <c r="BF20" i="42"/>
  <c r="BD20" i="42"/>
  <c r="BB20" i="42"/>
  <c r="AZ20" i="42"/>
  <c r="AX20" i="42"/>
  <c r="AV20" i="42"/>
  <c r="AT20" i="42"/>
  <c r="AR20" i="42"/>
  <c r="AP20" i="42"/>
  <c r="AN20" i="42"/>
  <c r="AF20" i="42"/>
  <c r="AD20" i="42"/>
  <c r="R20" i="42"/>
  <c r="K20" i="42"/>
  <c r="J20" i="42"/>
  <c r="C20" i="42"/>
  <c r="DB19" i="42"/>
  <c r="CZ19" i="42"/>
  <c r="CX19" i="42"/>
  <c r="CV19" i="42"/>
  <c r="CT19" i="42"/>
  <c r="CR19" i="42"/>
  <c r="CP19" i="42"/>
  <c r="CN19" i="42"/>
  <c r="CL19" i="42"/>
  <c r="CI19" i="42"/>
  <c r="CJ19" i="42" s="1"/>
  <c r="CH19" i="42"/>
  <c r="CF19" i="42"/>
  <c r="CD19" i="42"/>
  <c r="CB19" i="42"/>
  <c r="BZ19" i="42"/>
  <c r="BX19" i="42"/>
  <c r="BV19" i="42"/>
  <c r="BT19" i="42"/>
  <c r="BH19" i="42"/>
  <c r="BF19" i="42"/>
  <c r="BD19" i="42"/>
  <c r="BB19" i="42"/>
  <c r="AZ19" i="42"/>
  <c r="AX19" i="42"/>
  <c r="AV19" i="42"/>
  <c r="AT19" i="42"/>
  <c r="AR19" i="42"/>
  <c r="AP19" i="42"/>
  <c r="AN19" i="42"/>
  <c r="AF19" i="42"/>
  <c r="AD19" i="42"/>
  <c r="R19" i="42"/>
  <c r="K19" i="42"/>
  <c r="J19" i="42"/>
  <c r="C19" i="42"/>
  <c r="DB18" i="42"/>
  <c r="CZ18" i="42"/>
  <c r="CX18" i="42"/>
  <c r="CV18" i="42"/>
  <c r="CT18" i="42"/>
  <c r="CR18" i="42"/>
  <c r="CP18" i="42"/>
  <c r="CN18" i="42"/>
  <c r="CL18" i="42"/>
  <c r="CJ18" i="42"/>
  <c r="CH18" i="42"/>
  <c r="CF18" i="42"/>
  <c r="CD18" i="42"/>
  <c r="CB18" i="42"/>
  <c r="BZ18" i="42"/>
  <c r="BX18" i="42"/>
  <c r="BV18" i="42"/>
  <c r="BT18" i="42"/>
  <c r="BH18" i="42"/>
  <c r="BF18" i="42"/>
  <c r="BD18" i="42"/>
  <c r="BB18" i="42"/>
  <c r="AZ18" i="42"/>
  <c r="AX18" i="42"/>
  <c r="AV18" i="42"/>
  <c r="AT18" i="42"/>
  <c r="AR18" i="42"/>
  <c r="AP18" i="42"/>
  <c r="AN18" i="42"/>
  <c r="AF18" i="42"/>
  <c r="AD18" i="42"/>
  <c r="R18" i="42"/>
  <c r="K18" i="42"/>
  <c r="J18" i="42"/>
  <c r="C18" i="42"/>
  <c r="DB17" i="42"/>
  <c r="CZ17" i="42"/>
  <c r="CX17" i="42"/>
  <c r="CV17" i="42"/>
  <c r="CT17" i="42"/>
  <c r="CR17" i="42"/>
  <c r="CP17" i="42"/>
  <c r="CM17" i="42"/>
  <c r="CN17" i="42" s="1"/>
  <c r="CL17" i="42"/>
  <c r="CJ17" i="42"/>
  <c r="CH17" i="42"/>
  <c r="CF17" i="42"/>
  <c r="CD17" i="42"/>
  <c r="CB17" i="42"/>
  <c r="BZ17" i="42"/>
  <c r="BX17" i="42"/>
  <c r="BV17" i="42"/>
  <c r="BT17" i="42"/>
  <c r="BH17" i="42"/>
  <c r="BF17" i="42"/>
  <c r="BD17" i="42"/>
  <c r="BB17" i="42"/>
  <c r="AZ17" i="42"/>
  <c r="AX17" i="42"/>
  <c r="AV17" i="42"/>
  <c r="AT17" i="42"/>
  <c r="AR17" i="42"/>
  <c r="AP17" i="42"/>
  <c r="AN17" i="42"/>
  <c r="AL17" i="42"/>
  <c r="AJ17" i="42"/>
  <c r="AH17" i="42"/>
  <c r="AF17" i="42"/>
  <c r="AD17" i="42"/>
  <c r="R17" i="42"/>
  <c r="K17" i="42"/>
  <c r="J17" i="42"/>
  <c r="C17" i="42"/>
  <c r="DB16" i="42"/>
  <c r="CZ16" i="42"/>
  <c r="CX16" i="42"/>
  <c r="CV16" i="42"/>
  <c r="CT16" i="42"/>
  <c r="CR16" i="42"/>
  <c r="CP16" i="42"/>
  <c r="CN16" i="42"/>
  <c r="CL16" i="42"/>
  <c r="CJ16" i="42"/>
  <c r="CH16" i="42"/>
  <c r="CF16" i="42"/>
  <c r="CD16" i="42"/>
  <c r="CB16" i="42"/>
  <c r="BZ16" i="42"/>
  <c r="BX16" i="42"/>
  <c r="BV16" i="42"/>
  <c r="BT16" i="42"/>
  <c r="BH16" i="42"/>
  <c r="BF16" i="42"/>
  <c r="BD16" i="42"/>
  <c r="BB16" i="42"/>
  <c r="AZ16" i="42"/>
  <c r="AX16" i="42"/>
  <c r="AV16" i="42"/>
  <c r="AT16" i="42"/>
  <c r="AR16" i="42"/>
  <c r="AP16" i="42"/>
  <c r="AN16" i="42"/>
  <c r="AL16" i="42"/>
  <c r="AJ16" i="42"/>
  <c r="AH16" i="42"/>
  <c r="AF16" i="42"/>
  <c r="AD16" i="42"/>
  <c r="R16" i="42"/>
  <c r="K16" i="42"/>
  <c r="J16" i="42"/>
  <c r="C16" i="42"/>
  <c r="DB15" i="42"/>
  <c r="CZ15" i="42"/>
  <c r="CX15" i="42"/>
  <c r="CU15" i="42"/>
  <c r="CV15" i="42" s="1"/>
  <c r="CT15" i="42"/>
  <c r="CR15" i="42"/>
  <c r="CP15" i="42"/>
  <c r="CM15" i="42"/>
  <c r="CN15" i="42" s="1"/>
  <c r="CL15" i="42"/>
  <c r="CI15" i="42"/>
  <c r="CJ15" i="42" s="1"/>
  <c r="CH15" i="42"/>
  <c r="CF15" i="42"/>
  <c r="CD15" i="42"/>
  <c r="CB15" i="42"/>
  <c r="BZ15" i="42"/>
  <c r="BW15" i="42"/>
  <c r="BX15" i="42" s="1"/>
  <c r="BV15" i="42"/>
  <c r="BT15" i="42"/>
  <c r="BQ15" i="42"/>
  <c r="BP15" i="42"/>
  <c r="BM15" i="42"/>
  <c r="BK15" i="42"/>
  <c r="BI15" i="42"/>
  <c r="BJ15" i="42" s="1"/>
  <c r="BG15" i="42"/>
  <c r="BH15" i="42" s="1"/>
  <c r="BE15" i="42"/>
  <c r="BF15" i="42" s="1"/>
  <c r="BC15" i="42"/>
  <c r="BD15" i="42" s="1"/>
  <c r="BA15" i="42"/>
  <c r="BB15" i="42" s="1"/>
  <c r="AY15" i="42"/>
  <c r="AZ15" i="42" s="1"/>
  <c r="AW15" i="42"/>
  <c r="AX15" i="42" s="1"/>
  <c r="AU15" i="42"/>
  <c r="AV15" i="42" s="1"/>
  <c r="AS15" i="42"/>
  <c r="AT15" i="42" s="1"/>
  <c r="AQ15" i="42"/>
  <c r="AR15" i="42" s="1"/>
  <c r="AP15" i="42"/>
  <c r="AN15" i="42"/>
  <c r="AL15" i="42"/>
  <c r="AJ15" i="42"/>
  <c r="AH15" i="42"/>
  <c r="AF15" i="42"/>
  <c r="AD15" i="42"/>
  <c r="R15" i="42"/>
  <c r="K15" i="42"/>
  <c r="J15" i="42"/>
  <c r="C15" i="42"/>
  <c r="DB14" i="42"/>
  <c r="CZ14" i="42"/>
  <c r="CX14" i="42"/>
  <c r="CU14" i="42"/>
  <c r="CV14" i="42" s="1"/>
  <c r="CT14" i="42"/>
  <c r="CR14" i="42"/>
  <c r="CP14" i="42"/>
  <c r="CM14" i="42"/>
  <c r="CN14" i="42" s="1"/>
  <c r="CL14" i="42"/>
  <c r="CI14" i="42"/>
  <c r="CJ14" i="42" s="1"/>
  <c r="CH14" i="42"/>
  <c r="CF14" i="42"/>
  <c r="CD14" i="42"/>
  <c r="CB14" i="42"/>
  <c r="BZ14" i="42"/>
  <c r="BW14" i="42"/>
  <c r="BX14" i="42" s="1"/>
  <c r="BV14" i="42"/>
  <c r="BT14" i="42"/>
  <c r="BQ14" i="42"/>
  <c r="BP14" i="42"/>
  <c r="BM14" i="42"/>
  <c r="BK14" i="42"/>
  <c r="BL14" i="42" s="1"/>
  <c r="BI14" i="42"/>
  <c r="BJ14" i="42" s="1"/>
  <c r="BG14" i="42"/>
  <c r="BH14" i="42" s="1"/>
  <c r="BE14" i="42"/>
  <c r="BF14" i="42" s="1"/>
  <c r="BC14" i="42"/>
  <c r="BD14" i="42" s="1"/>
  <c r="BA14" i="42"/>
  <c r="BB14" i="42" s="1"/>
  <c r="AY14" i="42"/>
  <c r="AZ14" i="42" s="1"/>
  <c r="AW14" i="42"/>
  <c r="AX14" i="42" s="1"/>
  <c r="AU14" i="42"/>
  <c r="AV14" i="42" s="1"/>
  <c r="AS14" i="42"/>
  <c r="AT14" i="42" s="1"/>
  <c r="AQ14" i="42"/>
  <c r="AR14" i="42" s="1"/>
  <c r="AP14" i="42"/>
  <c r="AN14" i="42"/>
  <c r="AL14" i="42"/>
  <c r="AJ14" i="42"/>
  <c r="AH14" i="42"/>
  <c r="AF14" i="42"/>
  <c r="AD14" i="42"/>
  <c r="R14" i="42"/>
  <c r="K14" i="42"/>
  <c r="J14" i="42"/>
  <c r="C14" i="42"/>
  <c r="DB13" i="42"/>
  <c r="CZ13" i="42"/>
  <c r="CX13" i="42"/>
  <c r="CU13" i="42"/>
  <c r="CV13" i="42" s="1"/>
  <c r="CT13" i="42"/>
  <c r="CR13" i="42"/>
  <c r="CP13" i="42"/>
  <c r="CM13" i="42"/>
  <c r="CN13" i="42" s="1"/>
  <c r="CL13" i="42"/>
  <c r="CI13" i="42"/>
  <c r="CJ13" i="42" s="1"/>
  <c r="CH13" i="42"/>
  <c r="CF13" i="42"/>
  <c r="CD13" i="42"/>
  <c r="CB13" i="42"/>
  <c r="BZ13" i="42"/>
  <c r="BW13" i="42"/>
  <c r="BX13" i="42" s="1"/>
  <c r="BV13" i="42"/>
  <c r="BT13" i="42"/>
  <c r="BQ13" i="42"/>
  <c r="BP13" i="42"/>
  <c r="BM13" i="42"/>
  <c r="BK13" i="42"/>
  <c r="BL13" i="42" s="1"/>
  <c r="BI13" i="42"/>
  <c r="BJ13" i="42" s="1"/>
  <c r="BG13" i="42"/>
  <c r="BH13" i="42" s="1"/>
  <c r="BE13" i="42"/>
  <c r="BF13" i="42" s="1"/>
  <c r="BC13" i="42"/>
  <c r="BD13" i="42" s="1"/>
  <c r="BA13" i="42"/>
  <c r="BB13" i="42" s="1"/>
  <c r="AY13" i="42"/>
  <c r="AZ13" i="42" s="1"/>
  <c r="AW13" i="42"/>
  <c r="AX13" i="42" s="1"/>
  <c r="AU13" i="42"/>
  <c r="AV13" i="42" s="1"/>
  <c r="AS13" i="42"/>
  <c r="AT13" i="42" s="1"/>
  <c r="AQ13" i="42"/>
  <c r="AR13" i="42" s="1"/>
  <c r="AP13" i="42"/>
  <c r="AN13" i="42"/>
  <c r="AL13" i="42"/>
  <c r="AJ13" i="42"/>
  <c r="AH13" i="42"/>
  <c r="AF13" i="42"/>
  <c r="AD13" i="42"/>
  <c r="R13" i="42"/>
  <c r="K13" i="42"/>
  <c r="J13" i="42"/>
  <c r="C13" i="42"/>
  <c r="DB12" i="42"/>
  <c r="CZ12" i="42"/>
  <c r="CX12" i="42"/>
  <c r="CU12" i="42"/>
  <c r="CV12" i="42" s="1"/>
  <c r="CT12" i="42"/>
  <c r="CR12" i="42"/>
  <c r="CP12" i="42"/>
  <c r="CM12" i="42"/>
  <c r="CN12" i="42" s="1"/>
  <c r="CL12" i="42"/>
  <c r="CI12" i="42"/>
  <c r="CJ12" i="42" s="1"/>
  <c r="CH12" i="42"/>
  <c r="CF12" i="42"/>
  <c r="CD12" i="42"/>
  <c r="CB12" i="42"/>
  <c r="BZ12" i="42"/>
  <c r="BW12" i="42"/>
  <c r="BX12" i="42" s="1"/>
  <c r="BV12" i="42"/>
  <c r="BT12" i="42"/>
  <c r="BQ12" i="42"/>
  <c r="BP12" i="42"/>
  <c r="BM12" i="42"/>
  <c r="BK12" i="42"/>
  <c r="BL12" i="42" s="1"/>
  <c r="BI12" i="42"/>
  <c r="BJ12" i="42" s="1"/>
  <c r="BG12" i="42"/>
  <c r="BH12" i="42" s="1"/>
  <c r="BE12" i="42"/>
  <c r="BF12" i="42" s="1"/>
  <c r="BC12" i="42"/>
  <c r="BD12" i="42" s="1"/>
  <c r="BA12" i="42"/>
  <c r="BB12" i="42" s="1"/>
  <c r="AY12" i="42"/>
  <c r="AZ12" i="42" s="1"/>
  <c r="AW12" i="42"/>
  <c r="AX12" i="42" s="1"/>
  <c r="AU12" i="42"/>
  <c r="AV12" i="42" s="1"/>
  <c r="AS12" i="42"/>
  <c r="AT12" i="42" s="1"/>
  <c r="AQ12" i="42"/>
  <c r="AR12" i="42" s="1"/>
  <c r="AP12" i="42"/>
  <c r="AN12" i="42"/>
  <c r="AL12" i="42"/>
  <c r="AJ12" i="42"/>
  <c r="AH12" i="42"/>
  <c r="AF12" i="42"/>
  <c r="AD12" i="42"/>
  <c r="R12" i="42"/>
  <c r="K12" i="42"/>
  <c r="J12" i="42"/>
  <c r="C12" i="42"/>
  <c r="DB11" i="42"/>
  <c r="CZ11" i="42"/>
  <c r="CX11" i="42"/>
  <c r="CU11" i="42"/>
  <c r="CV11" i="42" s="1"/>
  <c r="CT11" i="42"/>
  <c r="CR11" i="42"/>
  <c r="CP11" i="42"/>
  <c r="CM11" i="42"/>
  <c r="CN11" i="42" s="1"/>
  <c r="CL11" i="42"/>
  <c r="CI11" i="42"/>
  <c r="CJ11" i="42" s="1"/>
  <c r="CH11" i="42"/>
  <c r="CF11" i="42"/>
  <c r="CD11" i="42"/>
  <c r="CB11" i="42"/>
  <c r="BZ11" i="42"/>
  <c r="BW11" i="42"/>
  <c r="BX11" i="42" s="1"/>
  <c r="BV11" i="42"/>
  <c r="BT11" i="42"/>
  <c r="BQ11" i="42"/>
  <c r="BP11" i="42"/>
  <c r="BM11" i="42"/>
  <c r="BK11" i="42"/>
  <c r="BI11" i="42"/>
  <c r="BJ11" i="42" s="1"/>
  <c r="BG11" i="42"/>
  <c r="BH11" i="42" s="1"/>
  <c r="BE11" i="42"/>
  <c r="BF11" i="42" s="1"/>
  <c r="BC11" i="42"/>
  <c r="BD11" i="42" s="1"/>
  <c r="BA11" i="42"/>
  <c r="BB11" i="42" s="1"/>
  <c r="AY11" i="42"/>
  <c r="AZ11" i="42" s="1"/>
  <c r="AW11" i="42"/>
  <c r="AX11" i="42" s="1"/>
  <c r="AU11" i="42"/>
  <c r="AV11" i="42" s="1"/>
  <c r="AS11" i="42"/>
  <c r="AT11" i="42" s="1"/>
  <c r="AQ11" i="42"/>
  <c r="AR11" i="42" s="1"/>
  <c r="AP11" i="42"/>
  <c r="AN11" i="42"/>
  <c r="AL11" i="42"/>
  <c r="AJ11" i="42"/>
  <c r="AH11" i="42"/>
  <c r="AF11" i="42"/>
  <c r="AD11" i="42"/>
  <c r="R11" i="42"/>
  <c r="Q11" i="42"/>
  <c r="K11" i="42"/>
  <c r="J11" i="42"/>
  <c r="C11" i="42"/>
  <c r="DB10" i="42"/>
  <c r="CZ10" i="42"/>
  <c r="CX10" i="42"/>
  <c r="CU10" i="42"/>
  <c r="CV10" i="42" s="1"/>
  <c r="CT10" i="42"/>
  <c r="CR10" i="42"/>
  <c r="CP10" i="42"/>
  <c r="CM10" i="42"/>
  <c r="CN10" i="42" s="1"/>
  <c r="CL10" i="42"/>
  <c r="CI10" i="42"/>
  <c r="CJ10" i="42" s="1"/>
  <c r="CH10" i="42"/>
  <c r="CF10" i="42"/>
  <c r="CD10" i="42"/>
  <c r="CB10" i="42"/>
  <c r="BZ10" i="42"/>
  <c r="BW10" i="42"/>
  <c r="BX10" i="42" s="1"/>
  <c r="BV10" i="42"/>
  <c r="BT10" i="42"/>
  <c r="BQ10" i="42"/>
  <c r="BP10" i="42"/>
  <c r="BM10" i="42"/>
  <c r="BK10" i="42"/>
  <c r="BI10" i="42"/>
  <c r="BJ10" i="42" s="1"/>
  <c r="BG10" i="42"/>
  <c r="BH10" i="42" s="1"/>
  <c r="BE10" i="42"/>
  <c r="BF10" i="42" s="1"/>
  <c r="BC10" i="42"/>
  <c r="BD10" i="42" s="1"/>
  <c r="BA10" i="42"/>
  <c r="BB10" i="42" s="1"/>
  <c r="AY10" i="42"/>
  <c r="AZ10" i="42" s="1"/>
  <c r="AW10" i="42"/>
  <c r="AX10" i="42" s="1"/>
  <c r="AU10" i="42"/>
  <c r="AV10" i="42" s="1"/>
  <c r="AS10" i="42"/>
  <c r="AT10" i="42" s="1"/>
  <c r="AQ10" i="42"/>
  <c r="AR10" i="42" s="1"/>
  <c r="AP10" i="42"/>
  <c r="AN10" i="42"/>
  <c r="AL10" i="42"/>
  <c r="AJ10" i="42"/>
  <c r="AH10" i="42"/>
  <c r="AF10" i="42"/>
  <c r="AD10" i="42"/>
  <c r="R10" i="42"/>
  <c r="Q10" i="42"/>
  <c r="K10" i="42"/>
  <c r="J10" i="42"/>
  <c r="C10" i="42"/>
  <c r="DB9" i="42"/>
  <c r="CZ9" i="42"/>
  <c r="CX9" i="42"/>
  <c r="CU9" i="42"/>
  <c r="CV9" i="42" s="1"/>
  <c r="CT9" i="42"/>
  <c r="CR9" i="42"/>
  <c r="CP9" i="42"/>
  <c r="CM9" i="42"/>
  <c r="CN9" i="42" s="1"/>
  <c r="CL9" i="42"/>
  <c r="CI9" i="42"/>
  <c r="CJ9" i="42" s="1"/>
  <c r="CH9" i="42"/>
  <c r="CF9" i="42"/>
  <c r="CD9" i="42"/>
  <c r="CB9" i="42"/>
  <c r="BZ9" i="42"/>
  <c r="BW9" i="42"/>
  <c r="BX9" i="42" s="1"/>
  <c r="BV9" i="42"/>
  <c r="BT9" i="42"/>
  <c r="BQ9" i="42"/>
  <c r="BP9" i="42"/>
  <c r="BM9" i="42"/>
  <c r="BK9" i="42"/>
  <c r="BI9" i="42"/>
  <c r="BJ9" i="42" s="1"/>
  <c r="BG9" i="42"/>
  <c r="BH9" i="42" s="1"/>
  <c r="BE9" i="42"/>
  <c r="BF9" i="42" s="1"/>
  <c r="BC9" i="42"/>
  <c r="BD9" i="42" s="1"/>
  <c r="BA9" i="42"/>
  <c r="BB9" i="42" s="1"/>
  <c r="AY9" i="42"/>
  <c r="AZ9" i="42" s="1"/>
  <c r="AW9" i="42"/>
  <c r="AX9" i="42" s="1"/>
  <c r="AU9" i="42"/>
  <c r="AV9" i="42" s="1"/>
  <c r="AS9" i="42"/>
  <c r="AT9" i="42" s="1"/>
  <c r="AQ9" i="42"/>
  <c r="AR9" i="42" s="1"/>
  <c r="AP9" i="42"/>
  <c r="AN9" i="42"/>
  <c r="AL9" i="42"/>
  <c r="AJ9" i="42"/>
  <c r="AH9" i="42"/>
  <c r="AF9" i="42"/>
  <c r="AD9" i="42"/>
  <c r="R9" i="42"/>
  <c r="Q9" i="42"/>
  <c r="K9" i="42"/>
  <c r="J9" i="42"/>
  <c r="C9" i="42"/>
  <c r="DB8" i="42"/>
  <c r="CZ8" i="42"/>
  <c r="CX8" i="42"/>
  <c r="CU8" i="42"/>
  <c r="CV8" i="42" s="1"/>
  <c r="CT8" i="42"/>
  <c r="CR8" i="42"/>
  <c r="CP8" i="42"/>
  <c r="CM8" i="42"/>
  <c r="CN8" i="42" s="1"/>
  <c r="CL8" i="42"/>
  <c r="CI8" i="42"/>
  <c r="CJ8" i="42" s="1"/>
  <c r="CH8" i="42"/>
  <c r="CF8" i="42"/>
  <c r="CD8" i="42"/>
  <c r="CB8" i="42"/>
  <c r="BZ8" i="42"/>
  <c r="BW8" i="42"/>
  <c r="BX8" i="42" s="1"/>
  <c r="BV8" i="42"/>
  <c r="BT8" i="42"/>
  <c r="BQ8" i="42"/>
  <c r="BP8" i="42"/>
  <c r="BM8" i="42"/>
  <c r="BK8" i="42"/>
  <c r="BI8" i="42"/>
  <c r="BJ8" i="42" s="1"/>
  <c r="BG8" i="42"/>
  <c r="BH8" i="42" s="1"/>
  <c r="BE8" i="42"/>
  <c r="BF8" i="42" s="1"/>
  <c r="BC8" i="42"/>
  <c r="BD8" i="42" s="1"/>
  <c r="BA8" i="42"/>
  <c r="BB8" i="42" s="1"/>
  <c r="AY8" i="42"/>
  <c r="AZ8" i="42" s="1"/>
  <c r="AW8" i="42"/>
  <c r="AX8" i="42" s="1"/>
  <c r="AU8" i="42"/>
  <c r="AV8" i="42" s="1"/>
  <c r="AS8" i="42"/>
  <c r="AT8" i="42" s="1"/>
  <c r="AQ8" i="42"/>
  <c r="AR8" i="42" s="1"/>
  <c r="AP8" i="42"/>
  <c r="AN8" i="42"/>
  <c r="AL8" i="42"/>
  <c r="AJ8" i="42"/>
  <c r="AH8" i="42"/>
  <c r="AF8" i="42"/>
  <c r="AD8" i="42"/>
  <c r="R8" i="42"/>
  <c r="Q8" i="42"/>
  <c r="K8" i="42"/>
  <c r="J8" i="42"/>
  <c r="C8" i="42"/>
  <c r="DB7" i="42"/>
  <c r="CZ7" i="42"/>
  <c r="CX7" i="42"/>
  <c r="CU7" i="42"/>
  <c r="CV7" i="42" s="1"/>
  <c r="CT7" i="42"/>
  <c r="CR7" i="42"/>
  <c r="CP7" i="42"/>
  <c r="CM7" i="42"/>
  <c r="CN7" i="42" s="1"/>
  <c r="CL7" i="42"/>
  <c r="CI7" i="42"/>
  <c r="CJ7" i="42" s="1"/>
  <c r="CH7" i="42"/>
  <c r="CF7" i="42"/>
  <c r="CD7" i="42"/>
  <c r="CB7" i="42"/>
  <c r="BZ7" i="42"/>
  <c r="BW7" i="42"/>
  <c r="BX7" i="42" s="1"/>
  <c r="BV7" i="42"/>
  <c r="BT7" i="42"/>
  <c r="BQ7" i="42"/>
  <c r="BP7" i="42"/>
  <c r="BM7" i="42"/>
  <c r="BK7" i="42"/>
  <c r="BI7" i="42"/>
  <c r="BJ7" i="42" s="1"/>
  <c r="BG7" i="42"/>
  <c r="BH7" i="42" s="1"/>
  <c r="BE7" i="42"/>
  <c r="BF7" i="42" s="1"/>
  <c r="BC7" i="42"/>
  <c r="BD7" i="42" s="1"/>
  <c r="BA7" i="42"/>
  <c r="BB7" i="42" s="1"/>
  <c r="AY7" i="42"/>
  <c r="AZ7" i="42" s="1"/>
  <c r="AW7" i="42"/>
  <c r="AX7" i="42" s="1"/>
  <c r="AU7" i="42"/>
  <c r="AV7" i="42" s="1"/>
  <c r="AS7" i="42"/>
  <c r="AT7" i="42" s="1"/>
  <c r="AQ7" i="42"/>
  <c r="AR7" i="42" s="1"/>
  <c r="AP7" i="42"/>
  <c r="AN7" i="42"/>
  <c r="AL7" i="42"/>
  <c r="AJ7" i="42"/>
  <c r="AH7" i="42"/>
  <c r="AF7" i="42"/>
  <c r="AD7" i="42"/>
  <c r="R7" i="42"/>
  <c r="Q7" i="42"/>
  <c r="K7" i="42"/>
  <c r="J7" i="42"/>
  <c r="C7" i="42"/>
  <c r="DB6" i="42"/>
  <c r="CZ6" i="42"/>
  <c r="CX6" i="42"/>
  <c r="CU6" i="42"/>
  <c r="CV6" i="42" s="1"/>
  <c r="CT6" i="42"/>
  <c r="CR6" i="42"/>
  <c r="CP6" i="42"/>
  <c r="CM6" i="42"/>
  <c r="CN6" i="42" s="1"/>
  <c r="CL6" i="42"/>
  <c r="CI6" i="42"/>
  <c r="CJ6" i="42" s="1"/>
  <c r="CH6" i="42"/>
  <c r="CF6" i="42"/>
  <c r="CD6" i="42"/>
  <c r="CB6" i="42"/>
  <c r="BZ6" i="42"/>
  <c r="BW6" i="42"/>
  <c r="BX6" i="42" s="1"/>
  <c r="BV6" i="42"/>
  <c r="BT6" i="42"/>
  <c r="BQ6" i="42"/>
  <c r="BP6" i="42"/>
  <c r="BM6" i="42"/>
  <c r="BK6" i="42"/>
  <c r="BI6" i="42"/>
  <c r="BJ6" i="42" s="1"/>
  <c r="BG6" i="42"/>
  <c r="BH6" i="42" s="1"/>
  <c r="BE6" i="42"/>
  <c r="BF6" i="42" s="1"/>
  <c r="BC6" i="42"/>
  <c r="BD6" i="42" s="1"/>
  <c r="BA6" i="42"/>
  <c r="BB6" i="42" s="1"/>
  <c r="AY6" i="42"/>
  <c r="AZ6" i="42" s="1"/>
  <c r="AW6" i="42"/>
  <c r="AX6" i="42" s="1"/>
  <c r="AU6" i="42"/>
  <c r="AV6" i="42" s="1"/>
  <c r="AS6" i="42"/>
  <c r="AT6" i="42" s="1"/>
  <c r="AQ6" i="42"/>
  <c r="AR6" i="42" s="1"/>
  <c r="AP6" i="42"/>
  <c r="AN6" i="42"/>
  <c r="AL6" i="42"/>
  <c r="AJ6" i="42"/>
  <c r="AH6" i="42"/>
  <c r="AF6" i="42"/>
  <c r="AD6" i="42"/>
  <c r="R6" i="42"/>
  <c r="Q6" i="42"/>
  <c r="K6" i="42"/>
  <c r="J6" i="42"/>
  <c r="C6" i="42"/>
  <c r="DB5" i="42"/>
  <c r="CZ5" i="42"/>
  <c r="CX5" i="42"/>
  <c r="CU5" i="42"/>
  <c r="CV5" i="42" s="1"/>
  <c r="CT5" i="42"/>
  <c r="CR5" i="42"/>
  <c r="CP5" i="42"/>
  <c r="CM5" i="42"/>
  <c r="CN5" i="42" s="1"/>
  <c r="CI5" i="42"/>
  <c r="CJ5" i="42" s="1"/>
  <c r="CH5" i="42"/>
  <c r="CF5" i="42"/>
  <c r="CD5" i="42"/>
  <c r="CB5" i="42"/>
  <c r="BZ5" i="42"/>
  <c r="BW5" i="42"/>
  <c r="BX5" i="42" s="1"/>
  <c r="BV5" i="42"/>
  <c r="BT5" i="42"/>
  <c r="BQ5" i="42"/>
  <c r="BP5" i="42"/>
  <c r="BM5" i="42"/>
  <c r="BK5" i="42"/>
  <c r="BI5" i="42"/>
  <c r="BJ5" i="42" s="1"/>
  <c r="BG5" i="42"/>
  <c r="BH5" i="42" s="1"/>
  <c r="BE5" i="42"/>
  <c r="BF5" i="42" s="1"/>
  <c r="BC5" i="42"/>
  <c r="BD5" i="42" s="1"/>
  <c r="BA5" i="42"/>
  <c r="BB5" i="42" s="1"/>
  <c r="AY5" i="42"/>
  <c r="AZ5" i="42" s="1"/>
  <c r="AW5" i="42"/>
  <c r="AX5" i="42" s="1"/>
  <c r="AU5" i="42"/>
  <c r="AV5" i="42" s="1"/>
  <c r="AS5" i="42"/>
  <c r="AT5" i="42" s="1"/>
  <c r="AQ5" i="42"/>
  <c r="AR5" i="42" s="1"/>
  <c r="AP5" i="42"/>
  <c r="AN5" i="42"/>
  <c r="AL5" i="42"/>
  <c r="AJ5" i="42"/>
  <c r="AH5" i="42"/>
  <c r="AF5" i="42"/>
  <c r="AD5" i="42"/>
  <c r="R5" i="42"/>
  <c r="Q5" i="42"/>
  <c r="K5" i="42"/>
  <c r="J5" i="42"/>
  <c r="C5" i="42"/>
  <c r="BW6" i="41"/>
  <c r="L8" i="44" l="1"/>
  <c r="H8" i="44"/>
  <c r="L34" i="44"/>
  <c r="H34" i="44"/>
  <c r="L13" i="44"/>
  <c r="H13" i="44"/>
  <c r="L16" i="44"/>
  <c r="H16" i="44"/>
  <c r="L11" i="44"/>
  <c r="H11" i="44"/>
  <c r="L29" i="44"/>
  <c r="H29" i="44"/>
  <c r="L32" i="44"/>
  <c r="H32" i="44"/>
  <c r="L30" i="44"/>
  <c r="H30" i="44"/>
  <c r="L5" i="44"/>
  <c r="H5" i="44"/>
  <c r="L19" i="44"/>
  <c r="H19" i="44"/>
  <c r="H6" i="44"/>
  <c r="J9" i="44"/>
  <c r="F11" i="44"/>
  <c r="L12" i="44"/>
  <c r="H14" i="44"/>
  <c r="J17" i="44"/>
  <c r="F19" i="44"/>
  <c r="L28" i="44"/>
  <c r="J33" i="44"/>
  <c r="F5" i="44"/>
  <c r="F13" i="44"/>
  <c r="F29" i="44"/>
  <c r="J36" i="44"/>
  <c r="F34" i="44"/>
  <c r="H10" i="44"/>
  <c r="H18" i="44"/>
  <c r="L13" i="43"/>
  <c r="H13" i="43"/>
  <c r="L5" i="43"/>
  <c r="H5" i="43"/>
  <c r="J21" i="43"/>
  <c r="L29" i="43"/>
  <c r="H29" i="43"/>
  <c r="L6" i="43"/>
  <c r="H6" i="43"/>
  <c r="L19" i="43"/>
  <c r="H19" i="43"/>
  <c r="L30" i="43"/>
  <c r="H30" i="43"/>
  <c r="L14" i="43"/>
  <c r="H14" i="43"/>
  <c r="L11" i="43"/>
  <c r="H11" i="43"/>
  <c r="H15" i="43"/>
  <c r="L15" i="43"/>
  <c r="H7" i="43"/>
  <c r="L7" i="43"/>
  <c r="H31" i="43"/>
  <c r="L31" i="43"/>
  <c r="J9" i="43"/>
  <c r="J22" i="43" s="1"/>
  <c r="F11" i="43"/>
  <c r="L12" i="43"/>
  <c r="J17" i="43"/>
  <c r="F19" i="43"/>
  <c r="L28" i="43"/>
  <c r="J33" i="43"/>
  <c r="H8" i="43"/>
  <c r="H16" i="43"/>
  <c r="H32" i="43"/>
  <c r="F7" i="43"/>
  <c r="H10" i="43"/>
  <c r="F15" i="43"/>
  <c r="H18" i="43"/>
  <c r="F31" i="43"/>
  <c r="H34" i="43"/>
  <c r="T32" i="41"/>
  <c r="BN6" i="42"/>
  <c r="BO6" i="42" s="1"/>
  <c r="BR13" i="42"/>
  <c r="BR9" i="42"/>
  <c r="BR14" i="42"/>
  <c r="BR5" i="42"/>
  <c r="BN10" i="42"/>
  <c r="BO10" i="42" s="1"/>
  <c r="BN5" i="42"/>
  <c r="BO5" i="42" s="1"/>
  <c r="BR8" i="42"/>
  <c r="BN9" i="42"/>
  <c r="BO9" i="42" s="1"/>
  <c r="BN12" i="42"/>
  <c r="BO12" i="42" s="1"/>
  <c r="BN13" i="42"/>
  <c r="BO13" i="42" s="1"/>
  <c r="BR12" i="42"/>
  <c r="BR6" i="42"/>
  <c r="BN7" i="42"/>
  <c r="BO7" i="42" s="1"/>
  <c r="BR10" i="42"/>
  <c r="BN11" i="42"/>
  <c r="BO11" i="42" s="1"/>
  <c r="BN15" i="42"/>
  <c r="BO15" i="42" s="1"/>
  <c r="BR7" i="42"/>
  <c r="BN8" i="42"/>
  <c r="BO8" i="42" s="1"/>
  <c r="BR11" i="42"/>
  <c r="BR15" i="42"/>
  <c r="E13" i="42"/>
  <c r="E7" i="42"/>
  <c r="E12" i="42"/>
  <c r="E27" i="42"/>
  <c r="E22" i="42"/>
  <c r="E10" i="42"/>
  <c r="E23" i="42"/>
  <c r="E24" i="42"/>
  <c r="E25" i="42"/>
  <c r="E33" i="42"/>
  <c r="T23" i="42"/>
  <c r="T5" i="42"/>
  <c r="E15" i="42"/>
  <c r="E37" i="42"/>
  <c r="T28" i="42"/>
  <c r="C2" i="42"/>
  <c r="T7" i="42"/>
  <c r="E5" i="42"/>
  <c r="T29" i="42"/>
  <c r="E21" i="42"/>
  <c r="E29" i="42"/>
  <c r="E31" i="42"/>
  <c r="E34" i="42"/>
  <c r="T9" i="42"/>
  <c r="T25" i="42"/>
  <c r="E8" i="42"/>
  <c r="E14" i="42"/>
  <c r="E16" i="42"/>
  <c r="T6" i="42"/>
  <c r="T26" i="42"/>
  <c r="E17" i="42"/>
  <c r="E6" i="42"/>
  <c r="E19" i="42"/>
  <c r="E26" i="42"/>
  <c r="E28" i="42"/>
  <c r="T18" i="42"/>
  <c r="T8" i="42"/>
  <c r="T10" i="42"/>
  <c r="E11" i="42"/>
  <c r="E20" i="42"/>
  <c r="E35" i="42"/>
  <c r="T31" i="42"/>
  <c r="T27" i="42"/>
  <c r="E9" i="42"/>
  <c r="E18" i="42"/>
  <c r="E30" i="42"/>
  <c r="E32" i="42"/>
  <c r="T12" i="42"/>
  <c r="T24" i="42"/>
  <c r="T14" i="42"/>
  <c r="T30" i="42"/>
  <c r="T15" i="42"/>
  <c r="T20" i="42"/>
  <c r="T17" i="42"/>
  <c r="T16" i="42"/>
  <c r="T11" i="42"/>
  <c r="T19" i="42"/>
  <c r="T13" i="42"/>
  <c r="BL5" i="42"/>
  <c r="BL6" i="42"/>
  <c r="BL7" i="42"/>
  <c r="BL8" i="42"/>
  <c r="BL9" i="42"/>
  <c r="BL10" i="42"/>
  <c r="BL11" i="42"/>
  <c r="BN14" i="42"/>
  <c r="BO14" i="42" s="1"/>
  <c r="BL15" i="42"/>
  <c r="W14" i="41"/>
  <c r="W13" i="41"/>
  <c r="O13" i="41"/>
  <c r="H37" i="44" l="1"/>
  <c r="L17" i="44"/>
  <c r="H17" i="44"/>
  <c r="J21" i="44"/>
  <c r="L36" i="44"/>
  <c r="H36" i="44"/>
  <c r="J22" i="44"/>
  <c r="L9" i="44"/>
  <c r="H9" i="44"/>
  <c r="J37" i="44"/>
  <c r="L33" i="44"/>
  <c r="H33" i="44"/>
  <c r="L37" i="44"/>
  <c r="H33" i="43"/>
  <c r="L33" i="43"/>
  <c r="H21" i="43"/>
  <c r="L21" i="43"/>
  <c r="L17" i="43"/>
  <c r="H17" i="43"/>
  <c r="J36" i="43"/>
  <c r="J37" i="43"/>
  <c r="L9" i="43"/>
  <c r="L22" i="43" s="1"/>
  <c r="H9" i="43"/>
  <c r="H22" i="43" s="1"/>
  <c r="T22" i="42"/>
  <c r="T21" i="42"/>
  <c r="L22" i="44" l="1"/>
  <c r="H21" i="44"/>
  <c r="H22" i="44" s="1"/>
  <c r="L21" i="44"/>
  <c r="H37" i="43"/>
  <c r="L36" i="43"/>
  <c r="L37" i="43" s="1"/>
  <c r="H36" i="43"/>
  <c r="W18" i="41"/>
  <c r="W17" i="41"/>
  <c r="W16" i="41"/>
  <c r="W15" i="41"/>
  <c r="W12" i="41"/>
  <c r="O14" i="41"/>
  <c r="W22" i="41"/>
  <c r="W21" i="41"/>
  <c r="W20" i="41"/>
  <c r="W19" i="41"/>
  <c r="O22" i="41"/>
  <c r="O21" i="41"/>
  <c r="O20" i="41"/>
  <c r="O19" i="41"/>
  <c r="O18" i="41"/>
  <c r="O17" i="41"/>
  <c r="O16" i="41"/>
  <c r="O15" i="41"/>
  <c r="O12" i="41"/>
  <c r="DD6" i="41"/>
  <c r="DD7" i="41"/>
  <c r="DD8" i="41"/>
  <c r="DD9" i="41"/>
  <c r="DD10" i="41"/>
  <c r="DD11" i="41"/>
  <c r="DD12" i="41"/>
  <c r="DD13" i="41"/>
  <c r="DD14" i="41"/>
  <c r="DD15" i="41"/>
  <c r="DD16" i="41"/>
  <c r="DD17" i="41"/>
  <c r="DD18" i="41"/>
  <c r="DD19" i="41"/>
  <c r="DD20" i="41"/>
  <c r="DD21" i="41"/>
  <c r="DD22" i="41"/>
  <c r="DD23" i="41"/>
  <c r="DD24" i="41"/>
  <c r="DD25" i="41"/>
  <c r="DD26" i="41"/>
  <c r="DD27" i="41"/>
  <c r="DD28" i="41"/>
  <c r="DD29" i="41"/>
  <c r="DD30" i="41"/>
  <c r="DD31" i="41"/>
  <c r="DD33" i="41"/>
  <c r="DD34" i="41"/>
  <c r="DD35" i="41"/>
  <c r="DD36" i="41"/>
  <c r="DD37" i="41"/>
  <c r="DD38" i="41"/>
  <c r="DD5" i="41"/>
  <c r="AJ6" i="41"/>
  <c r="AJ7" i="41"/>
  <c r="AJ8" i="41"/>
  <c r="AJ9" i="41"/>
  <c r="AJ10" i="41"/>
  <c r="AJ11" i="41"/>
  <c r="AJ12" i="41"/>
  <c r="AJ13" i="41"/>
  <c r="AJ14" i="41"/>
  <c r="AJ15" i="41"/>
  <c r="AJ16" i="41"/>
  <c r="AJ17" i="41"/>
  <c r="AJ5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7" i="41"/>
  <c r="C6" i="41"/>
  <c r="C5" i="41"/>
  <c r="Q7" i="41"/>
  <c r="R7" i="41"/>
  <c r="Q8" i="41"/>
  <c r="R8" i="41"/>
  <c r="T8" i="41" l="1"/>
  <c r="Q19" i="41"/>
  <c r="R19" i="41"/>
  <c r="Q20" i="41"/>
  <c r="R20" i="41"/>
  <c r="Q21" i="41"/>
  <c r="R21" i="41"/>
  <c r="Q22" i="41"/>
  <c r="R22" i="41"/>
  <c r="Q12" i="41"/>
  <c r="R12" i="41"/>
  <c r="CR33" i="41"/>
  <c r="CR34" i="41"/>
  <c r="CP33" i="41"/>
  <c r="CP34" i="41"/>
  <c r="CN33" i="41"/>
  <c r="CN34" i="41"/>
  <c r="CL33" i="41"/>
  <c r="CL34" i="41"/>
  <c r="CJ33" i="41"/>
  <c r="CJ34" i="41"/>
  <c r="AL16" i="41"/>
  <c r="AP6" i="41"/>
  <c r="AP7" i="41"/>
  <c r="CF33" i="41"/>
  <c r="CF34" i="41"/>
  <c r="CD33" i="41"/>
  <c r="CD34" i="41"/>
  <c r="CB33" i="41"/>
  <c r="CB34" i="41"/>
  <c r="BX33" i="41"/>
  <c r="BX34" i="41"/>
  <c r="BV6" i="41"/>
  <c r="BV7" i="41"/>
  <c r="BV8" i="41"/>
  <c r="BV9" i="41"/>
  <c r="BV10" i="41"/>
  <c r="BV11" i="41"/>
  <c r="BV12" i="41"/>
  <c r="BV13" i="41"/>
  <c r="BV14" i="41"/>
  <c r="BV15" i="41"/>
  <c r="BV16" i="41"/>
  <c r="BV17" i="41"/>
  <c r="BV18" i="41"/>
  <c r="BV19" i="41"/>
  <c r="BV20" i="41"/>
  <c r="BV21" i="41"/>
  <c r="BV22" i="41"/>
  <c r="BV23" i="41"/>
  <c r="BV24" i="41"/>
  <c r="BV25" i="41"/>
  <c r="BV26" i="41"/>
  <c r="BV27" i="41"/>
  <c r="BV28" i="41"/>
  <c r="BV29" i="41"/>
  <c r="BV30" i="41"/>
  <c r="BV31" i="41"/>
  <c r="BV33" i="41"/>
  <c r="BV34" i="41"/>
  <c r="BV35" i="41"/>
  <c r="BV36" i="41"/>
  <c r="BV37" i="41"/>
  <c r="BV38" i="41"/>
  <c r="BV5" i="41"/>
  <c r="CH6" i="41"/>
  <c r="CH7" i="41"/>
  <c r="CH8" i="41"/>
  <c r="CH9" i="41"/>
  <c r="CH10" i="41"/>
  <c r="CH11" i="41"/>
  <c r="CH12" i="41"/>
  <c r="CH13" i="41"/>
  <c r="CH14" i="41"/>
  <c r="CH15" i="41"/>
  <c r="CH16" i="41"/>
  <c r="CH17" i="41"/>
  <c r="CH18" i="41"/>
  <c r="CH19" i="41"/>
  <c r="CH20" i="41"/>
  <c r="CH21" i="41"/>
  <c r="CH22" i="41"/>
  <c r="CH23" i="41"/>
  <c r="CH24" i="41"/>
  <c r="CH25" i="41"/>
  <c r="CH26" i="41"/>
  <c r="CH27" i="41"/>
  <c r="CH28" i="41"/>
  <c r="CH29" i="41"/>
  <c r="CH30" i="41"/>
  <c r="CH31" i="41"/>
  <c r="CH33" i="41"/>
  <c r="CH34" i="41"/>
  <c r="CH35" i="41"/>
  <c r="CH36" i="41"/>
  <c r="CH37" i="41"/>
  <c r="CH38" i="41"/>
  <c r="CH5" i="41"/>
  <c r="BZ6" i="41"/>
  <c r="BZ7" i="41"/>
  <c r="BZ8" i="41"/>
  <c r="BZ9" i="41"/>
  <c r="BZ10" i="41"/>
  <c r="BZ11" i="41"/>
  <c r="BZ12" i="41"/>
  <c r="BZ13" i="41"/>
  <c r="BZ14" i="41"/>
  <c r="BZ15" i="41"/>
  <c r="BZ16" i="41"/>
  <c r="BZ17" i="41"/>
  <c r="BZ18" i="41"/>
  <c r="BZ19" i="41"/>
  <c r="BZ20" i="41"/>
  <c r="BZ21" i="41"/>
  <c r="BZ22" i="41"/>
  <c r="BZ23" i="41"/>
  <c r="BZ24" i="41"/>
  <c r="BZ25" i="41"/>
  <c r="BZ26" i="41"/>
  <c r="BZ27" i="41"/>
  <c r="BZ28" i="41"/>
  <c r="BZ29" i="41"/>
  <c r="BZ30" i="41"/>
  <c r="BZ31" i="41"/>
  <c r="BZ33" i="41"/>
  <c r="BZ34" i="41"/>
  <c r="BZ35" i="41"/>
  <c r="BZ36" i="41"/>
  <c r="BZ37" i="41"/>
  <c r="BZ38" i="41"/>
  <c r="BZ5" i="41"/>
  <c r="BX16" i="41"/>
  <c r="CB16" i="41"/>
  <c r="CD16" i="41"/>
  <c r="CF16" i="41"/>
  <c r="CJ16" i="41"/>
  <c r="CR16" i="41"/>
  <c r="CP16" i="41"/>
  <c r="CN16" i="41"/>
  <c r="CL16" i="41"/>
  <c r="CL6" i="41"/>
  <c r="CL7" i="41"/>
  <c r="CP6" i="41"/>
  <c r="CP7" i="41"/>
  <c r="CR6" i="41"/>
  <c r="CR7" i="41"/>
  <c r="CV16" i="41"/>
  <c r="CV17" i="41"/>
  <c r="CV18" i="41"/>
  <c r="CV19" i="41"/>
  <c r="CV20" i="41"/>
  <c r="CV21" i="41"/>
  <c r="CV22" i="41"/>
  <c r="CV23" i="41"/>
  <c r="CV24" i="41"/>
  <c r="CV25" i="41"/>
  <c r="CV26" i="41"/>
  <c r="CV27" i="41"/>
  <c r="CV28" i="41"/>
  <c r="CV29" i="41"/>
  <c r="CV30" i="41"/>
  <c r="CV31" i="41"/>
  <c r="CV33" i="41"/>
  <c r="CV34" i="41"/>
  <c r="CV35" i="41"/>
  <c r="CV36" i="41"/>
  <c r="CV37" i="41"/>
  <c r="CV38" i="41"/>
  <c r="CT6" i="41"/>
  <c r="CT7" i="41"/>
  <c r="CT8" i="41"/>
  <c r="CT9" i="41"/>
  <c r="CT10" i="41"/>
  <c r="CT11" i="41"/>
  <c r="CT12" i="41"/>
  <c r="CT13" i="41"/>
  <c r="CT14" i="41"/>
  <c r="CT15" i="41"/>
  <c r="CT16" i="41"/>
  <c r="CT17" i="41"/>
  <c r="CT18" i="41"/>
  <c r="CT19" i="41"/>
  <c r="CT20" i="41"/>
  <c r="CT21" i="41"/>
  <c r="CT22" i="41"/>
  <c r="CT23" i="41"/>
  <c r="CT24" i="41"/>
  <c r="CT25" i="41"/>
  <c r="CT26" i="41"/>
  <c r="CT27" i="41"/>
  <c r="CT28" i="41"/>
  <c r="CT29" i="41"/>
  <c r="CT30" i="41"/>
  <c r="CT31" i="41"/>
  <c r="CT33" i="41"/>
  <c r="CT34" i="41"/>
  <c r="CT35" i="41"/>
  <c r="CT36" i="41"/>
  <c r="CT37" i="41"/>
  <c r="CT38" i="41"/>
  <c r="CT5" i="41"/>
  <c r="CZ6" i="41"/>
  <c r="CZ7" i="41"/>
  <c r="DB6" i="41"/>
  <c r="DB7" i="41"/>
  <c r="DB16" i="41"/>
  <c r="CZ16" i="41"/>
  <c r="CZ33" i="41"/>
  <c r="CZ34" i="41"/>
  <c r="DB33" i="41"/>
  <c r="DB34" i="41"/>
  <c r="AP16" i="41"/>
  <c r="AP33" i="41"/>
  <c r="AP34" i="41"/>
  <c r="AN33" i="41"/>
  <c r="AN34" i="41"/>
  <c r="AN16" i="41"/>
  <c r="AN6" i="41"/>
  <c r="AN7" i="41"/>
  <c r="BH16" i="41"/>
  <c r="BH17" i="41"/>
  <c r="BH18" i="41"/>
  <c r="BH19" i="41"/>
  <c r="BH20" i="41"/>
  <c r="BH21" i="41"/>
  <c r="BH22" i="41"/>
  <c r="BH23" i="41"/>
  <c r="BH24" i="41"/>
  <c r="BF16" i="41"/>
  <c r="BF17" i="41"/>
  <c r="BF18" i="41"/>
  <c r="BF19" i="41"/>
  <c r="BF20" i="41"/>
  <c r="BF21" i="41"/>
  <c r="BF22" i="41"/>
  <c r="BF23" i="41"/>
  <c r="BF24" i="41"/>
  <c r="BD16" i="41"/>
  <c r="BD17" i="41"/>
  <c r="BD18" i="41"/>
  <c r="BD19" i="41"/>
  <c r="BD20" i="41"/>
  <c r="BD21" i="41"/>
  <c r="BD22" i="41"/>
  <c r="BD23" i="41"/>
  <c r="BD24" i="41"/>
  <c r="BB16" i="41"/>
  <c r="BB17" i="41"/>
  <c r="BB18" i="41"/>
  <c r="BB19" i="41"/>
  <c r="BB20" i="41"/>
  <c r="BB21" i="41"/>
  <c r="BB22" i="41"/>
  <c r="BB23" i="41"/>
  <c r="BB24" i="41"/>
  <c r="AZ16" i="41"/>
  <c r="AZ17" i="41"/>
  <c r="AZ18" i="41"/>
  <c r="AZ19" i="41"/>
  <c r="AZ20" i="41"/>
  <c r="AZ21" i="41"/>
  <c r="AX16" i="41"/>
  <c r="AX17" i="41"/>
  <c r="AX18" i="41"/>
  <c r="AX19" i="41"/>
  <c r="AX20" i="41"/>
  <c r="AX21" i="41"/>
  <c r="AV16" i="41"/>
  <c r="AV17" i="41"/>
  <c r="AV18" i="41"/>
  <c r="AV19" i="41"/>
  <c r="AV20" i="41"/>
  <c r="AV21" i="41"/>
  <c r="AT16" i="41"/>
  <c r="AT17" i="41"/>
  <c r="AT18" i="41"/>
  <c r="AT19" i="41"/>
  <c r="AT20" i="41"/>
  <c r="AT21" i="41"/>
  <c r="AR16" i="41"/>
  <c r="AR17" i="41"/>
  <c r="AR18" i="41"/>
  <c r="AR19" i="41"/>
  <c r="AR20" i="41"/>
  <c r="AR21" i="41"/>
  <c r="AL6" i="41"/>
  <c r="AL7" i="41"/>
  <c r="AH16" i="41"/>
  <c r="AH6" i="41"/>
  <c r="AH7" i="41"/>
  <c r="AH8" i="41"/>
  <c r="BT33" i="41"/>
  <c r="BT34" i="41"/>
  <c r="BT16" i="41"/>
  <c r="AF16" i="41"/>
  <c r="AF33" i="41"/>
  <c r="AF34" i="41"/>
  <c r="AD33" i="41"/>
  <c r="AD34" i="41"/>
  <c r="AD16" i="41"/>
  <c r="F39" i="41" l="1"/>
  <c r="J33" i="41"/>
  <c r="K33" i="41"/>
  <c r="J34" i="41"/>
  <c r="K34" i="41"/>
  <c r="J16" i="41"/>
  <c r="K16" i="41"/>
  <c r="J6" i="41"/>
  <c r="K6" i="41"/>
  <c r="J7" i="41"/>
  <c r="K7" i="41"/>
  <c r="C33" i="41"/>
  <c r="C34" i="41"/>
  <c r="C8" i="41"/>
  <c r="CF6" i="41"/>
  <c r="CF7" i="41"/>
  <c r="CD6" i="41"/>
  <c r="CD7" i="41"/>
  <c r="CB6" i="41"/>
  <c r="CB7" i="41"/>
  <c r="BT6" i="41"/>
  <c r="BT7" i="41"/>
  <c r="AF6" i="41"/>
  <c r="AF7" i="41"/>
  <c r="BQ6" i="41"/>
  <c r="BP6" i="41"/>
  <c r="BM6" i="41"/>
  <c r="BK6" i="41"/>
  <c r="BL6" i="41" s="1"/>
  <c r="BI6" i="41"/>
  <c r="BJ6" i="41" s="1"/>
  <c r="BG6" i="41"/>
  <c r="BH6" i="41" s="1"/>
  <c r="BE6" i="41"/>
  <c r="BF6" i="41" s="1"/>
  <c r="BC6" i="41"/>
  <c r="BD6" i="41" s="1"/>
  <c r="BA6" i="41"/>
  <c r="BB6" i="41" s="1"/>
  <c r="AY6" i="41"/>
  <c r="AZ6" i="41" s="1"/>
  <c r="AW6" i="41"/>
  <c r="AX6" i="41" s="1"/>
  <c r="AU6" i="41"/>
  <c r="AV6" i="41" s="1"/>
  <c r="AS6" i="41"/>
  <c r="AT6" i="41" s="1"/>
  <c r="AQ6" i="41"/>
  <c r="AR6" i="41" s="1"/>
  <c r="CU6" i="41"/>
  <c r="CM6" i="41"/>
  <c r="CN6" i="41" s="1"/>
  <c r="CI6" i="41"/>
  <c r="CJ6" i="41" s="1"/>
  <c r="BX6" i="41"/>
  <c r="BQ7" i="41"/>
  <c r="BP7" i="41"/>
  <c r="BM7" i="41"/>
  <c r="BK7" i="41"/>
  <c r="BL7" i="41" s="1"/>
  <c r="BI7" i="41"/>
  <c r="BJ7" i="41" s="1"/>
  <c r="BG7" i="41"/>
  <c r="BH7" i="41" s="1"/>
  <c r="BE7" i="41"/>
  <c r="BF7" i="41" s="1"/>
  <c r="BC7" i="41"/>
  <c r="BD7" i="41" s="1"/>
  <c r="BA7" i="41"/>
  <c r="BB7" i="41" s="1"/>
  <c r="AY7" i="41"/>
  <c r="AZ7" i="41" s="1"/>
  <c r="AW7" i="41"/>
  <c r="AX7" i="41" s="1"/>
  <c r="AU7" i="41"/>
  <c r="AV7" i="41" s="1"/>
  <c r="AS7" i="41"/>
  <c r="AT7" i="41" s="1"/>
  <c r="AQ7" i="41"/>
  <c r="AR7" i="41" s="1"/>
  <c r="CU7" i="41"/>
  <c r="CM7" i="41"/>
  <c r="CN7" i="41" s="1"/>
  <c r="CI7" i="41"/>
  <c r="CJ7" i="41" s="1"/>
  <c r="BW7" i="41"/>
  <c r="BX7" i="41" s="1"/>
  <c r="AD8" i="41"/>
  <c r="AF8" i="41"/>
  <c r="BT8" i="41"/>
  <c r="BW8" i="41"/>
  <c r="BX8" i="41" s="1"/>
  <c r="CB8" i="41"/>
  <c r="CD8" i="41"/>
  <c r="CF8" i="41"/>
  <c r="CI8" i="41"/>
  <c r="CJ8" i="41" s="1"/>
  <c r="CL8" i="41"/>
  <c r="CM8" i="41"/>
  <c r="CN8" i="41" s="1"/>
  <c r="CP8" i="41"/>
  <c r="CR8" i="41"/>
  <c r="AN8" i="41"/>
  <c r="AP8" i="41"/>
  <c r="AL8" i="41"/>
  <c r="CU8" i="41"/>
  <c r="CV8" i="41" s="1"/>
  <c r="AQ8" i="41"/>
  <c r="AR8" i="41" s="1"/>
  <c r="AS8" i="41"/>
  <c r="AT8" i="41" s="1"/>
  <c r="AU8" i="41"/>
  <c r="AV8" i="41" s="1"/>
  <c r="AW8" i="41"/>
  <c r="AX8" i="41" s="1"/>
  <c r="AY8" i="41"/>
  <c r="AZ8" i="41" s="1"/>
  <c r="BA8" i="41"/>
  <c r="BB8" i="41" s="1"/>
  <c r="BC8" i="41"/>
  <c r="BD8" i="41" s="1"/>
  <c r="BE8" i="41"/>
  <c r="BF8" i="41" s="1"/>
  <c r="BG8" i="41"/>
  <c r="BH8" i="41" s="1"/>
  <c r="BI8" i="41"/>
  <c r="BJ8" i="41" s="1"/>
  <c r="BK8" i="41"/>
  <c r="BL8" i="41" s="1"/>
  <c r="BM8" i="41"/>
  <c r="BP8" i="41"/>
  <c r="BQ8" i="41"/>
  <c r="CZ8" i="41"/>
  <c r="DB8" i="41"/>
  <c r="AD9" i="41"/>
  <c r="AF9" i="41"/>
  <c r="BT9" i="41"/>
  <c r="BW9" i="41"/>
  <c r="BX9" i="41" s="1"/>
  <c r="CB9" i="41"/>
  <c r="CD9" i="41"/>
  <c r="CF9" i="41"/>
  <c r="CI9" i="41"/>
  <c r="CJ9" i="41" s="1"/>
  <c r="CL9" i="41"/>
  <c r="AH9" i="41"/>
  <c r="CM9" i="41"/>
  <c r="CN9" i="41" s="1"/>
  <c r="CP9" i="41"/>
  <c r="CR9" i="41"/>
  <c r="AN9" i="41"/>
  <c r="AP9" i="41"/>
  <c r="AL9" i="41"/>
  <c r="CU9" i="41"/>
  <c r="CV9" i="41" s="1"/>
  <c r="AQ9" i="41"/>
  <c r="AR9" i="41" s="1"/>
  <c r="AS9" i="41"/>
  <c r="AT9" i="41" s="1"/>
  <c r="AU9" i="41"/>
  <c r="AV9" i="41" s="1"/>
  <c r="AW9" i="41"/>
  <c r="AX9" i="41" s="1"/>
  <c r="AY9" i="41"/>
  <c r="AZ9" i="41" s="1"/>
  <c r="BA9" i="41"/>
  <c r="BB9" i="41" s="1"/>
  <c r="BC9" i="41"/>
  <c r="BD9" i="41" s="1"/>
  <c r="BE9" i="41"/>
  <c r="BF9" i="41" s="1"/>
  <c r="BG9" i="41"/>
  <c r="BH9" i="41" s="1"/>
  <c r="BI9" i="41"/>
  <c r="BJ9" i="41" s="1"/>
  <c r="BK9" i="41"/>
  <c r="BL9" i="41" s="1"/>
  <c r="BM9" i="41"/>
  <c r="BP9" i="41"/>
  <c r="BQ9" i="41"/>
  <c r="CZ9" i="41"/>
  <c r="DB9" i="41"/>
  <c r="AD10" i="41"/>
  <c r="AF10" i="41"/>
  <c r="BT10" i="41"/>
  <c r="BW10" i="41"/>
  <c r="BX10" i="41" s="1"/>
  <c r="CB10" i="41"/>
  <c r="CD10" i="41"/>
  <c r="CF10" i="41"/>
  <c r="CI10" i="41"/>
  <c r="CJ10" i="41" s="1"/>
  <c r="CL10" i="41"/>
  <c r="AH10" i="41"/>
  <c r="CM10" i="41"/>
  <c r="CN10" i="41" s="1"/>
  <c r="CP10" i="41"/>
  <c r="CR10" i="41"/>
  <c r="AN10" i="41"/>
  <c r="AP10" i="41"/>
  <c r="AL10" i="41"/>
  <c r="CU10" i="41"/>
  <c r="CV10" i="41" s="1"/>
  <c r="AQ10" i="41"/>
  <c r="AR10" i="41" s="1"/>
  <c r="AS10" i="41"/>
  <c r="AT10" i="41" s="1"/>
  <c r="AU10" i="41"/>
  <c r="AV10" i="41" s="1"/>
  <c r="AW10" i="41"/>
  <c r="AX10" i="41" s="1"/>
  <c r="AY10" i="41"/>
  <c r="AZ10" i="41" s="1"/>
  <c r="BA10" i="41"/>
  <c r="BB10" i="41" s="1"/>
  <c r="BC10" i="41"/>
  <c r="BD10" i="41" s="1"/>
  <c r="BE10" i="41"/>
  <c r="BF10" i="41" s="1"/>
  <c r="BG10" i="41"/>
  <c r="BH10" i="41" s="1"/>
  <c r="BI10" i="41"/>
  <c r="BJ10" i="41" s="1"/>
  <c r="BK10" i="41"/>
  <c r="BL10" i="41" s="1"/>
  <c r="BM10" i="41"/>
  <c r="BP10" i="41"/>
  <c r="BQ10" i="41"/>
  <c r="CZ10" i="41"/>
  <c r="DB10" i="41"/>
  <c r="AD11" i="41"/>
  <c r="AF11" i="41"/>
  <c r="BT11" i="41"/>
  <c r="BW11" i="41"/>
  <c r="BX11" i="41" s="1"/>
  <c r="CB11" i="41"/>
  <c r="CD11" i="41"/>
  <c r="CF11" i="41"/>
  <c r="CI11" i="41"/>
  <c r="CJ11" i="41" s="1"/>
  <c r="CL11" i="41"/>
  <c r="AH11" i="41"/>
  <c r="CM11" i="41"/>
  <c r="CN11" i="41" s="1"/>
  <c r="CP11" i="41"/>
  <c r="CR11" i="41"/>
  <c r="AN11" i="41"/>
  <c r="AP11" i="41"/>
  <c r="AL11" i="41"/>
  <c r="CU11" i="41"/>
  <c r="CV11" i="41" s="1"/>
  <c r="AQ11" i="41"/>
  <c r="AR11" i="41" s="1"/>
  <c r="AS11" i="41"/>
  <c r="AT11" i="41" s="1"/>
  <c r="AU11" i="41"/>
  <c r="AV11" i="41" s="1"/>
  <c r="AW11" i="41"/>
  <c r="AX11" i="41" s="1"/>
  <c r="AY11" i="41"/>
  <c r="AZ11" i="41" s="1"/>
  <c r="BA11" i="41"/>
  <c r="BB11" i="41" s="1"/>
  <c r="BC11" i="41"/>
  <c r="BD11" i="41" s="1"/>
  <c r="BE11" i="41"/>
  <c r="BF11" i="41" s="1"/>
  <c r="BG11" i="41"/>
  <c r="BH11" i="41" s="1"/>
  <c r="BI11" i="41"/>
  <c r="BJ11" i="41" s="1"/>
  <c r="BK11" i="41"/>
  <c r="BL11" i="41" s="1"/>
  <c r="BM11" i="41"/>
  <c r="BP11" i="41"/>
  <c r="BQ11" i="41"/>
  <c r="CZ11" i="41"/>
  <c r="DB11" i="41"/>
  <c r="AD12" i="41"/>
  <c r="AF12" i="41"/>
  <c r="BT12" i="41"/>
  <c r="BW12" i="41"/>
  <c r="BX12" i="41" s="1"/>
  <c r="CB12" i="41"/>
  <c r="CD12" i="41"/>
  <c r="CF12" i="41"/>
  <c r="CI12" i="41"/>
  <c r="CJ12" i="41" s="1"/>
  <c r="CL12" i="41"/>
  <c r="AH12" i="41"/>
  <c r="CM12" i="41"/>
  <c r="CN12" i="41" s="1"/>
  <c r="CP12" i="41"/>
  <c r="CR12" i="41"/>
  <c r="AN12" i="41"/>
  <c r="AP12" i="41"/>
  <c r="AL12" i="41"/>
  <c r="CU12" i="41"/>
  <c r="CV12" i="41" s="1"/>
  <c r="AQ12" i="41"/>
  <c r="AR12" i="41" s="1"/>
  <c r="AS12" i="41"/>
  <c r="AT12" i="41" s="1"/>
  <c r="AU12" i="41"/>
  <c r="AV12" i="41" s="1"/>
  <c r="AW12" i="41"/>
  <c r="AX12" i="41" s="1"/>
  <c r="AY12" i="41"/>
  <c r="AZ12" i="41" s="1"/>
  <c r="BA12" i="41"/>
  <c r="BB12" i="41" s="1"/>
  <c r="BC12" i="41"/>
  <c r="BD12" i="41" s="1"/>
  <c r="BE12" i="41"/>
  <c r="BF12" i="41" s="1"/>
  <c r="BG12" i="41"/>
  <c r="BH12" i="41" s="1"/>
  <c r="BI12" i="41"/>
  <c r="BJ12" i="41" s="1"/>
  <c r="BK12" i="41"/>
  <c r="BL12" i="41" s="1"/>
  <c r="BM12" i="41"/>
  <c r="BP12" i="41"/>
  <c r="BQ12" i="41"/>
  <c r="CZ12" i="41"/>
  <c r="DB12" i="41"/>
  <c r="AD13" i="41"/>
  <c r="AF13" i="41"/>
  <c r="BT13" i="41"/>
  <c r="BW13" i="41"/>
  <c r="BX13" i="41" s="1"/>
  <c r="CB13" i="41"/>
  <c r="CD13" i="41"/>
  <c r="CF13" i="41"/>
  <c r="CI13" i="41"/>
  <c r="CJ13" i="41" s="1"/>
  <c r="CL13" i="41"/>
  <c r="AH13" i="41"/>
  <c r="CM13" i="41"/>
  <c r="CN13" i="41" s="1"/>
  <c r="CP13" i="41"/>
  <c r="CR13" i="41"/>
  <c r="AN13" i="41"/>
  <c r="AP13" i="41"/>
  <c r="AL13" i="41"/>
  <c r="CU13" i="41"/>
  <c r="CV13" i="41" s="1"/>
  <c r="AQ13" i="41"/>
  <c r="AR13" i="41" s="1"/>
  <c r="AS13" i="41"/>
  <c r="AT13" i="41" s="1"/>
  <c r="AU13" i="41"/>
  <c r="AV13" i="41" s="1"/>
  <c r="AW13" i="41"/>
  <c r="AX13" i="41" s="1"/>
  <c r="AY13" i="41"/>
  <c r="AZ13" i="41" s="1"/>
  <c r="BA13" i="41"/>
  <c r="BB13" i="41" s="1"/>
  <c r="BC13" i="41"/>
  <c r="BD13" i="41" s="1"/>
  <c r="BE13" i="41"/>
  <c r="BF13" i="41" s="1"/>
  <c r="BG13" i="41"/>
  <c r="BH13" i="41" s="1"/>
  <c r="BI13" i="41"/>
  <c r="BJ13" i="41" s="1"/>
  <c r="BK13" i="41"/>
  <c r="BL13" i="41" s="1"/>
  <c r="BM13" i="41"/>
  <c r="BP13" i="41"/>
  <c r="BQ13" i="41"/>
  <c r="CZ13" i="41"/>
  <c r="DB13" i="41"/>
  <c r="AD14" i="41"/>
  <c r="AF14" i="41"/>
  <c r="BT14" i="41"/>
  <c r="BW14" i="41"/>
  <c r="BX14" i="41" s="1"/>
  <c r="CB14" i="41"/>
  <c r="CD14" i="41"/>
  <c r="CF14" i="41"/>
  <c r="CI14" i="41"/>
  <c r="CJ14" i="41" s="1"/>
  <c r="CL14" i="41"/>
  <c r="AH14" i="41"/>
  <c r="CM14" i="41"/>
  <c r="CN14" i="41" s="1"/>
  <c r="CP14" i="41"/>
  <c r="CR14" i="41"/>
  <c r="AN14" i="41"/>
  <c r="AP14" i="41"/>
  <c r="AL14" i="41"/>
  <c r="CU14" i="41"/>
  <c r="CV14" i="41" s="1"/>
  <c r="AQ14" i="41"/>
  <c r="AR14" i="41" s="1"/>
  <c r="AS14" i="41"/>
  <c r="AT14" i="41" s="1"/>
  <c r="AU14" i="41"/>
  <c r="AV14" i="41" s="1"/>
  <c r="AW14" i="41"/>
  <c r="AX14" i="41" s="1"/>
  <c r="AY14" i="41"/>
  <c r="AZ14" i="41" s="1"/>
  <c r="BA14" i="41"/>
  <c r="BB14" i="41" s="1"/>
  <c r="BC14" i="41"/>
  <c r="BD14" i="41" s="1"/>
  <c r="BE14" i="41"/>
  <c r="BF14" i="41" s="1"/>
  <c r="BG14" i="41"/>
  <c r="BH14" i="41" s="1"/>
  <c r="BI14" i="41"/>
  <c r="BJ14" i="41" s="1"/>
  <c r="BK14" i="41"/>
  <c r="BL14" i="41" s="1"/>
  <c r="BM14" i="41"/>
  <c r="BP14" i="41"/>
  <c r="BQ14" i="41"/>
  <c r="CZ14" i="41"/>
  <c r="DB14" i="41"/>
  <c r="AD15" i="41"/>
  <c r="AF15" i="41"/>
  <c r="BT15" i="41"/>
  <c r="BW15" i="41"/>
  <c r="BX15" i="41" s="1"/>
  <c r="CB15" i="41"/>
  <c r="CD15" i="41"/>
  <c r="CF15" i="41"/>
  <c r="CI15" i="41"/>
  <c r="CJ15" i="41" s="1"/>
  <c r="CL15" i="41"/>
  <c r="AH15" i="41"/>
  <c r="CM15" i="41"/>
  <c r="CN15" i="41" s="1"/>
  <c r="CP15" i="41"/>
  <c r="CR15" i="41"/>
  <c r="AN15" i="41"/>
  <c r="AP15" i="41"/>
  <c r="AL15" i="41"/>
  <c r="CU15" i="41"/>
  <c r="CV15" i="41" s="1"/>
  <c r="AQ15" i="41"/>
  <c r="AR15" i="41" s="1"/>
  <c r="AS15" i="41"/>
  <c r="AT15" i="41" s="1"/>
  <c r="AU15" i="41"/>
  <c r="AV15" i="41" s="1"/>
  <c r="AW15" i="41"/>
  <c r="AX15" i="41" s="1"/>
  <c r="AY15" i="41"/>
  <c r="AZ15" i="41" s="1"/>
  <c r="BA15" i="41"/>
  <c r="BB15" i="41" s="1"/>
  <c r="BC15" i="41"/>
  <c r="BD15" i="41" s="1"/>
  <c r="BE15" i="41"/>
  <c r="BF15" i="41" s="1"/>
  <c r="BG15" i="41"/>
  <c r="BH15" i="41" s="1"/>
  <c r="BI15" i="41"/>
  <c r="BJ15" i="41" s="1"/>
  <c r="BK15" i="41"/>
  <c r="BL15" i="41" s="1"/>
  <c r="BM15" i="41"/>
  <c r="BP15" i="41"/>
  <c r="BQ15" i="41"/>
  <c r="CZ15" i="41"/>
  <c r="DB15" i="41"/>
  <c r="AD5" i="41"/>
  <c r="AF5" i="41"/>
  <c r="BT5" i="41"/>
  <c r="BW5" i="41"/>
  <c r="BX5" i="41" s="1"/>
  <c r="CB5" i="41"/>
  <c r="CD5" i="41"/>
  <c r="CF5" i="41"/>
  <c r="CI5" i="41"/>
  <c r="CJ5" i="41" s="1"/>
  <c r="CL5" i="41"/>
  <c r="AH5" i="41"/>
  <c r="CM5" i="41"/>
  <c r="CN5" i="41" s="1"/>
  <c r="CP5" i="41"/>
  <c r="CR5" i="41"/>
  <c r="AN5" i="41"/>
  <c r="AP5" i="41"/>
  <c r="AL5" i="41"/>
  <c r="CU5" i="41"/>
  <c r="CV5" i="41" s="1"/>
  <c r="AQ5" i="41"/>
  <c r="AR5" i="41" s="1"/>
  <c r="AS5" i="41"/>
  <c r="AT5" i="41" s="1"/>
  <c r="AU5" i="41"/>
  <c r="AV5" i="41" s="1"/>
  <c r="AW5" i="41"/>
  <c r="AX5" i="41" s="1"/>
  <c r="AY5" i="41"/>
  <c r="AZ5" i="41" s="1"/>
  <c r="BA5" i="41"/>
  <c r="BB5" i="41" s="1"/>
  <c r="BC5" i="41"/>
  <c r="BD5" i="41" s="1"/>
  <c r="BE5" i="41"/>
  <c r="BF5" i="41" s="1"/>
  <c r="BG5" i="41"/>
  <c r="BH5" i="41" s="1"/>
  <c r="BI5" i="41"/>
  <c r="BJ5" i="41" s="1"/>
  <c r="BK5" i="41"/>
  <c r="BL5" i="41" s="1"/>
  <c r="BM5" i="41"/>
  <c r="BP5" i="41"/>
  <c r="BQ5" i="41"/>
  <c r="CZ5" i="41"/>
  <c r="DB5" i="41"/>
  <c r="AD17" i="41"/>
  <c r="AF17" i="41"/>
  <c r="BT17" i="41"/>
  <c r="BX17" i="41"/>
  <c r="CB17" i="41"/>
  <c r="CD17" i="41"/>
  <c r="CF17" i="41"/>
  <c r="CJ17" i="41"/>
  <c r="CL17" i="41"/>
  <c r="AH17" i="41"/>
  <c r="CM17" i="41"/>
  <c r="CN17" i="41" s="1"/>
  <c r="CP17" i="41"/>
  <c r="CR17" i="41"/>
  <c r="AN17" i="41"/>
  <c r="AP17" i="41"/>
  <c r="AL17" i="41"/>
  <c r="CZ17" i="41"/>
  <c r="DB17" i="41"/>
  <c r="AD18" i="41"/>
  <c r="AF18" i="41"/>
  <c r="BT18" i="41"/>
  <c r="BX18" i="41"/>
  <c r="CB18" i="41"/>
  <c r="CD18" i="41"/>
  <c r="CF18" i="41"/>
  <c r="CJ18" i="41"/>
  <c r="CL18" i="41"/>
  <c r="CN18" i="41"/>
  <c r="CP18" i="41"/>
  <c r="CR18" i="41"/>
  <c r="AN18" i="41"/>
  <c r="AP18" i="41"/>
  <c r="CZ18" i="41"/>
  <c r="DB18" i="41"/>
  <c r="AD19" i="41"/>
  <c r="AF19" i="41"/>
  <c r="BT19" i="41"/>
  <c r="BX19" i="41"/>
  <c r="CB19" i="41"/>
  <c r="CD19" i="41"/>
  <c r="CF19" i="41"/>
  <c r="CI19" i="41"/>
  <c r="CJ19" i="41" s="1"/>
  <c r="CL19" i="41"/>
  <c r="CN19" i="41"/>
  <c r="CP19" i="41"/>
  <c r="CR19" i="41"/>
  <c r="AN19" i="41"/>
  <c r="AP19" i="41"/>
  <c r="CZ19" i="41"/>
  <c r="DB19" i="41"/>
  <c r="AD20" i="41"/>
  <c r="AF20" i="41"/>
  <c r="BT20" i="41"/>
  <c r="BX20" i="41"/>
  <c r="CB20" i="41"/>
  <c r="CD20" i="41"/>
  <c r="CF20" i="41"/>
  <c r="CJ20" i="41"/>
  <c r="CL20" i="41"/>
  <c r="CN20" i="41"/>
  <c r="CP20" i="41"/>
  <c r="CR20" i="41"/>
  <c r="AN20" i="41"/>
  <c r="AP20" i="41"/>
  <c r="CZ20" i="41"/>
  <c r="DB20" i="41"/>
  <c r="AD21" i="41"/>
  <c r="AF21" i="41"/>
  <c r="BT21" i="41"/>
  <c r="BX21" i="41"/>
  <c r="CB21" i="41"/>
  <c r="CD21" i="41"/>
  <c r="CF21" i="41"/>
  <c r="CJ21" i="41"/>
  <c r="CL21" i="41"/>
  <c r="CN21" i="41"/>
  <c r="CP21" i="41"/>
  <c r="CR21" i="41"/>
  <c r="AN21" i="41"/>
  <c r="AP21" i="41"/>
  <c r="CZ21" i="41"/>
  <c r="DB21" i="41"/>
  <c r="AD22" i="41"/>
  <c r="AF22" i="41"/>
  <c r="BT22" i="41"/>
  <c r="BX22" i="41"/>
  <c r="CB22" i="41"/>
  <c r="CD22" i="41"/>
  <c r="CF22" i="41"/>
  <c r="CJ22" i="41"/>
  <c r="CL22" i="41"/>
  <c r="CN22" i="41"/>
  <c r="CP22" i="41"/>
  <c r="CR22" i="41"/>
  <c r="AN22" i="41"/>
  <c r="AP22" i="41"/>
  <c r="CZ22" i="41"/>
  <c r="DB22" i="41"/>
  <c r="AD23" i="41"/>
  <c r="AF23" i="41"/>
  <c r="BT23" i="41"/>
  <c r="BX23" i="41"/>
  <c r="CB23" i="41"/>
  <c r="CD23" i="41"/>
  <c r="CF23" i="41"/>
  <c r="CJ23" i="41"/>
  <c r="CL23" i="41"/>
  <c r="CN23" i="41"/>
  <c r="CP23" i="41"/>
  <c r="CR23" i="41"/>
  <c r="AN23" i="41"/>
  <c r="AP23" i="41"/>
  <c r="CZ23" i="41"/>
  <c r="DB23" i="41"/>
  <c r="AD24" i="41"/>
  <c r="AF24" i="41"/>
  <c r="BT24" i="41"/>
  <c r="BX24" i="41"/>
  <c r="CB24" i="41"/>
  <c r="CD24" i="41"/>
  <c r="CF24" i="41"/>
  <c r="CJ24" i="41"/>
  <c r="CL24" i="41"/>
  <c r="CN24" i="41"/>
  <c r="CP24" i="41"/>
  <c r="CR24" i="41"/>
  <c r="AN24" i="41"/>
  <c r="AP24" i="41"/>
  <c r="CZ24" i="41"/>
  <c r="DB24" i="41"/>
  <c r="AD25" i="41"/>
  <c r="AF25" i="41"/>
  <c r="BT25" i="41"/>
  <c r="BW25" i="41"/>
  <c r="BX25" i="41" s="1"/>
  <c r="CB25" i="41"/>
  <c r="CD25" i="41"/>
  <c r="CF25" i="41"/>
  <c r="CJ25" i="41"/>
  <c r="CL25" i="41"/>
  <c r="CN25" i="41"/>
  <c r="CP25" i="41"/>
  <c r="CR25" i="41"/>
  <c r="AN25" i="41"/>
  <c r="AP25" i="41"/>
  <c r="CZ25" i="41"/>
  <c r="DB25" i="41"/>
  <c r="AD26" i="41"/>
  <c r="AF26" i="41"/>
  <c r="BT26" i="41"/>
  <c r="BW26" i="41"/>
  <c r="BX26" i="41" s="1"/>
  <c r="CB26" i="41"/>
  <c r="CD26" i="41"/>
  <c r="CF26" i="41"/>
  <c r="CJ26" i="41"/>
  <c r="CL26" i="41"/>
  <c r="CN26" i="41"/>
  <c r="CP26" i="41"/>
  <c r="CR26" i="41"/>
  <c r="AN26" i="41"/>
  <c r="AP26" i="41"/>
  <c r="CZ26" i="41"/>
  <c r="DB26" i="41"/>
  <c r="AD27" i="41"/>
  <c r="AF27" i="41"/>
  <c r="BT27" i="41"/>
  <c r="BX27" i="41"/>
  <c r="CB27" i="41"/>
  <c r="CD27" i="41"/>
  <c r="CF27" i="41"/>
  <c r="CJ27" i="41"/>
  <c r="CL27" i="41"/>
  <c r="CN27" i="41"/>
  <c r="CP27" i="41"/>
  <c r="CR27" i="41"/>
  <c r="AN27" i="41"/>
  <c r="AP27" i="41"/>
  <c r="CZ27" i="41"/>
  <c r="DB27" i="41"/>
  <c r="AD28" i="41"/>
  <c r="AF28" i="41"/>
  <c r="BT28" i="41"/>
  <c r="BX28" i="41"/>
  <c r="CB28" i="41"/>
  <c r="CD28" i="41"/>
  <c r="CF28" i="41"/>
  <c r="CI28" i="41"/>
  <c r="CJ28" i="41" s="1"/>
  <c r="CL28" i="41"/>
  <c r="CN28" i="41"/>
  <c r="CP28" i="41"/>
  <c r="CR28" i="41"/>
  <c r="AN28" i="41"/>
  <c r="AP28" i="41"/>
  <c r="CZ28" i="41"/>
  <c r="DB28" i="41"/>
  <c r="AD29" i="41"/>
  <c r="AF29" i="41"/>
  <c r="BT29" i="41"/>
  <c r="BX29" i="41"/>
  <c r="CB29" i="41"/>
  <c r="CD29" i="41"/>
  <c r="CF29" i="41"/>
  <c r="CI29" i="41"/>
  <c r="CJ29" i="41" s="1"/>
  <c r="CL29" i="41"/>
  <c r="CN29" i="41"/>
  <c r="CP29" i="41"/>
  <c r="CR29" i="41"/>
  <c r="AN29" i="41"/>
  <c r="AP29" i="41"/>
  <c r="CZ29" i="41"/>
  <c r="DB29" i="41"/>
  <c r="AD30" i="41"/>
  <c r="AF30" i="41"/>
  <c r="BT30" i="41"/>
  <c r="BX30" i="41"/>
  <c r="CB30" i="41"/>
  <c r="CD30" i="41"/>
  <c r="CF30" i="41"/>
  <c r="CI30" i="41"/>
  <c r="CJ30" i="41" s="1"/>
  <c r="CL30" i="41"/>
  <c r="CN30" i="41"/>
  <c r="CP30" i="41"/>
  <c r="CR30" i="41"/>
  <c r="AN30" i="41"/>
  <c r="AP30" i="41"/>
  <c r="CZ30" i="41"/>
  <c r="DB30" i="41"/>
  <c r="AD31" i="41"/>
  <c r="AF31" i="41"/>
  <c r="BT31" i="41"/>
  <c r="BX31" i="41"/>
  <c r="CB31" i="41"/>
  <c r="CD31" i="41"/>
  <c r="CF31" i="41"/>
  <c r="CJ31" i="41"/>
  <c r="CL31" i="41"/>
  <c r="CN31" i="41"/>
  <c r="CP31" i="41"/>
  <c r="CR31" i="41"/>
  <c r="AN31" i="41"/>
  <c r="AP31" i="41"/>
  <c r="CZ31" i="41"/>
  <c r="DB31" i="41"/>
  <c r="AD35" i="41"/>
  <c r="AF35" i="41"/>
  <c r="BT35" i="41"/>
  <c r="BX35" i="41"/>
  <c r="CB35" i="41"/>
  <c r="CD35" i="41"/>
  <c r="CF35" i="41"/>
  <c r="CJ35" i="41"/>
  <c r="CL35" i="41"/>
  <c r="CN35" i="41"/>
  <c r="CP35" i="41"/>
  <c r="CR35" i="41"/>
  <c r="AN35" i="41"/>
  <c r="AP35" i="41"/>
  <c r="CZ35" i="41"/>
  <c r="DB35" i="41"/>
  <c r="AD36" i="41"/>
  <c r="AF36" i="41"/>
  <c r="BT36" i="41"/>
  <c r="BX36" i="41"/>
  <c r="CB36" i="41"/>
  <c r="CD36" i="41"/>
  <c r="CF36" i="41"/>
  <c r="CJ36" i="41"/>
  <c r="CL36" i="41"/>
  <c r="CN36" i="41"/>
  <c r="CP36" i="41"/>
  <c r="CR36" i="41"/>
  <c r="AN36" i="41"/>
  <c r="AP36" i="41"/>
  <c r="CZ36" i="41"/>
  <c r="DB36" i="41"/>
  <c r="AD37" i="41"/>
  <c r="AF37" i="41"/>
  <c r="BT37" i="41"/>
  <c r="BX37" i="41"/>
  <c r="CB37" i="41"/>
  <c r="CD37" i="41"/>
  <c r="CF37" i="41"/>
  <c r="CJ37" i="41"/>
  <c r="CL37" i="41"/>
  <c r="CN37" i="41"/>
  <c r="CP37" i="41"/>
  <c r="CR37" i="41"/>
  <c r="AN37" i="41"/>
  <c r="AP37" i="41"/>
  <c r="CZ37" i="41"/>
  <c r="DB37" i="41"/>
  <c r="AD38" i="41"/>
  <c r="AF38" i="41"/>
  <c r="BT38" i="41"/>
  <c r="BX38" i="41"/>
  <c r="CB38" i="41"/>
  <c r="CD38" i="41"/>
  <c r="CF38" i="41"/>
  <c r="CJ38" i="41"/>
  <c r="CL38" i="41"/>
  <c r="CN38" i="41"/>
  <c r="CP38" i="41"/>
  <c r="CR38" i="41"/>
  <c r="AN38" i="41"/>
  <c r="AP38" i="41"/>
  <c r="CZ38" i="41"/>
  <c r="DB38" i="41"/>
  <c r="AD6" i="41" l="1"/>
  <c r="CV6" i="41"/>
  <c r="BR6" i="41"/>
  <c r="AD7" i="41"/>
  <c r="CV7" i="41"/>
  <c r="E36" i="41"/>
  <c r="E19" i="41"/>
  <c r="E27" i="41"/>
  <c r="E10" i="41"/>
  <c r="E35" i="41"/>
  <c r="E20" i="41"/>
  <c r="E28" i="41"/>
  <c r="E11" i="41"/>
  <c r="E37" i="41"/>
  <c r="E21" i="41"/>
  <c r="E29" i="41"/>
  <c r="E38" i="41"/>
  <c r="E22" i="41"/>
  <c r="E13" i="41"/>
  <c r="E23" i="41"/>
  <c r="E31" i="41"/>
  <c r="E34" i="41"/>
  <c r="E16" i="41"/>
  <c r="E17" i="41"/>
  <c r="E8" i="41"/>
  <c r="E5" i="41"/>
  <c r="E9" i="41"/>
  <c r="E12" i="41"/>
  <c r="E30" i="41"/>
  <c r="E33" i="41"/>
  <c r="E14" i="41"/>
  <c r="E24" i="41"/>
  <c r="E15" i="41"/>
  <c r="E25" i="41"/>
  <c r="E6" i="41"/>
  <c r="E18" i="41"/>
  <c r="E26" i="41"/>
  <c r="E7" i="41"/>
  <c r="T21" i="41"/>
  <c r="T13" i="41"/>
  <c r="T20" i="41"/>
  <c r="T12" i="41"/>
  <c r="T17" i="41"/>
  <c r="T16" i="41"/>
  <c r="T31" i="41"/>
  <c r="T15" i="41"/>
  <c r="T26" i="41"/>
  <c r="T14" i="41"/>
  <c r="T25" i="41"/>
  <c r="T24" i="41"/>
  <c r="T23" i="41"/>
  <c r="T7" i="41"/>
  <c r="T30" i="41"/>
  <c r="T18" i="41"/>
  <c r="T11" i="41"/>
  <c r="T6" i="41"/>
  <c r="T19" i="41"/>
  <c r="T29" i="41"/>
  <c r="T9" i="41"/>
  <c r="T28" i="41"/>
  <c r="T27" i="41"/>
  <c r="T10" i="41"/>
  <c r="BN7" i="41"/>
  <c r="BO7" i="41" s="1"/>
  <c r="BR7" i="41"/>
  <c r="BN6" i="41"/>
  <c r="BO6" i="41" s="1"/>
  <c r="BN11" i="41"/>
  <c r="BO11" i="41" s="1"/>
  <c r="BN9" i="41"/>
  <c r="BO9" i="41" s="1"/>
  <c r="BN5" i="41"/>
  <c r="BO5" i="41" s="1"/>
  <c r="BR11" i="41"/>
  <c r="BR8" i="41"/>
  <c r="BN14" i="41"/>
  <c r="BO14" i="41" s="1"/>
  <c r="BR15" i="41"/>
  <c r="BR5" i="41"/>
  <c r="BN12" i="41"/>
  <c r="BO12" i="41" s="1"/>
  <c r="BR13" i="41"/>
  <c r="BR9" i="41"/>
  <c r="BN15" i="41"/>
  <c r="BO15" i="41" s="1"/>
  <c r="BN8" i="41"/>
  <c r="BO8" i="41" s="1"/>
  <c r="BR10" i="41"/>
  <c r="BN13" i="41"/>
  <c r="BO13" i="41" s="1"/>
  <c r="BN10" i="41"/>
  <c r="BO10" i="41" s="1"/>
  <c r="BR12" i="41"/>
  <c r="BR14" i="41"/>
  <c r="Q27" i="41"/>
  <c r="K8" i="41"/>
  <c r="J8" i="41"/>
  <c r="K38" i="41"/>
  <c r="J38" i="41"/>
  <c r="C38" i="41"/>
  <c r="K37" i="41"/>
  <c r="J37" i="41"/>
  <c r="C37" i="41"/>
  <c r="K36" i="41"/>
  <c r="J36" i="41"/>
  <c r="C36" i="41"/>
  <c r="K35" i="41"/>
  <c r="J35" i="41"/>
  <c r="C35" i="41"/>
  <c r="K31" i="41"/>
  <c r="J31" i="41"/>
  <c r="C31" i="41"/>
  <c r="K30" i="41"/>
  <c r="J30" i="41"/>
  <c r="C30" i="41"/>
  <c r="K29" i="41"/>
  <c r="J29" i="41"/>
  <c r="C29" i="41"/>
  <c r="K28" i="41"/>
  <c r="J28" i="41"/>
  <c r="C28" i="41"/>
  <c r="K27" i="41"/>
  <c r="J27" i="41"/>
  <c r="C27" i="41"/>
  <c r="R9" i="41"/>
  <c r="Q9" i="41"/>
  <c r="K26" i="41"/>
  <c r="J26" i="41"/>
  <c r="C26" i="41"/>
  <c r="R31" i="41"/>
  <c r="Q31" i="41"/>
  <c r="K25" i="41"/>
  <c r="J25" i="41"/>
  <c r="C25" i="41"/>
  <c r="R10" i="41"/>
  <c r="Q10" i="41"/>
  <c r="K24" i="41"/>
  <c r="J24" i="41"/>
  <c r="C24" i="41"/>
  <c r="R30" i="41"/>
  <c r="Q30" i="41"/>
  <c r="K23" i="41"/>
  <c r="J23" i="41"/>
  <c r="C23" i="41"/>
  <c r="K22" i="41"/>
  <c r="J22" i="41"/>
  <c r="C22" i="41"/>
  <c r="R29" i="41"/>
  <c r="K21" i="41"/>
  <c r="J21" i="41"/>
  <c r="C21" i="41"/>
  <c r="R28" i="41"/>
  <c r="Q28" i="41"/>
  <c r="K20" i="41"/>
  <c r="J20" i="41"/>
  <c r="R27" i="41"/>
  <c r="K19" i="41"/>
  <c r="J19" i="41"/>
  <c r="R26" i="41"/>
  <c r="Q26" i="41"/>
  <c r="R25" i="41"/>
  <c r="Q25" i="41"/>
  <c r="K18" i="41"/>
  <c r="J18" i="41"/>
  <c r="R24" i="41"/>
  <c r="K17" i="41"/>
  <c r="J17" i="41"/>
  <c r="R23" i="41"/>
  <c r="K5" i="41"/>
  <c r="J5" i="41"/>
  <c r="R18" i="41"/>
  <c r="K15" i="41"/>
  <c r="J15" i="41"/>
  <c r="R17" i="41"/>
  <c r="K14" i="41"/>
  <c r="J14" i="41"/>
  <c r="R16" i="41"/>
  <c r="K13" i="41"/>
  <c r="J13" i="41"/>
  <c r="R15" i="41"/>
  <c r="K12" i="41"/>
  <c r="J12" i="41"/>
  <c r="R14" i="41"/>
  <c r="R13" i="41"/>
  <c r="K11" i="41"/>
  <c r="J11" i="41"/>
  <c r="R11" i="41"/>
  <c r="K10" i="41"/>
  <c r="J10" i="41"/>
  <c r="R6" i="41"/>
  <c r="Q6" i="41"/>
  <c r="K9" i="41"/>
  <c r="J9" i="41"/>
  <c r="R5" i="41"/>
  <c r="T5" i="41" l="1"/>
  <c r="T22" i="41"/>
  <c r="C2" i="41"/>
  <c r="Q5" i="41" l="1"/>
  <c r="Q29" i="41"/>
  <c r="Q23" i="41"/>
  <c r="Q15" i="41" l="1"/>
  <c r="Q18" i="41"/>
  <c r="Q14" i="41"/>
  <c r="Q17" i="41"/>
  <c r="Q16" i="41"/>
  <c r="Q13" i="41"/>
  <c r="Q11" i="41"/>
  <c r="Q24" i="41"/>
</calcChain>
</file>

<file path=xl/sharedStrings.xml><?xml version="1.0" encoding="utf-8"?>
<sst xmlns="http://schemas.openxmlformats.org/spreadsheetml/2006/main" count="645" uniqueCount="225">
  <si>
    <t>Dry Matter %</t>
  </si>
  <si>
    <t>DCAB mEq/kg</t>
  </si>
  <si>
    <t>Choline g/kg</t>
  </si>
  <si>
    <t>Fac. DM</t>
  </si>
  <si>
    <t>Fac. Ash</t>
  </si>
  <si>
    <t>Fac. CP</t>
  </si>
  <si>
    <t>Fac. Fat</t>
  </si>
  <si>
    <t>Fac. Fib</t>
  </si>
  <si>
    <t>Fac. NFE</t>
  </si>
  <si>
    <t>Fac. Stc</t>
  </si>
  <si>
    <t>Fac. Sug</t>
  </si>
  <si>
    <t>ذرت</t>
  </si>
  <si>
    <t>گندم</t>
  </si>
  <si>
    <t>کنجاله سویا</t>
  </si>
  <si>
    <t>گلوتن ذرت</t>
  </si>
  <si>
    <t>سبوس گندم</t>
  </si>
  <si>
    <t>روغن گیاهی</t>
  </si>
  <si>
    <t>متیونین</t>
  </si>
  <si>
    <t>ترئونین</t>
  </si>
  <si>
    <t>تریپتوفان</t>
  </si>
  <si>
    <t>والین</t>
  </si>
  <si>
    <t>دی کلسیم فسفات</t>
  </si>
  <si>
    <t>منو کلسیم فسفات</t>
  </si>
  <si>
    <t>کربنات کلسیم</t>
  </si>
  <si>
    <t>پرکننده</t>
  </si>
  <si>
    <t>Linoleic Acid %</t>
  </si>
  <si>
    <t>NDF %</t>
  </si>
  <si>
    <t>ADF %</t>
  </si>
  <si>
    <t>Ash %</t>
  </si>
  <si>
    <t>Starch %</t>
  </si>
  <si>
    <t>Sugar %</t>
  </si>
  <si>
    <t>NFE %</t>
  </si>
  <si>
    <t>Gly+Ser(Total) %</t>
  </si>
  <si>
    <t>Bulk Density g/ml</t>
  </si>
  <si>
    <t>آرژنین</t>
  </si>
  <si>
    <t>ME kcal/kg</t>
  </si>
  <si>
    <t>CP %</t>
  </si>
  <si>
    <t>Tot. P %</t>
  </si>
  <si>
    <t>Ava.P %</t>
  </si>
  <si>
    <t>Ca %</t>
  </si>
  <si>
    <t>Na %</t>
  </si>
  <si>
    <t>Cl %</t>
  </si>
  <si>
    <t>قیمت اقلام</t>
  </si>
  <si>
    <t xml:space="preserve">لیزین </t>
  </si>
  <si>
    <t>آنالیز جیره</t>
  </si>
  <si>
    <t>K %</t>
  </si>
  <si>
    <t>قیمت جیره</t>
  </si>
  <si>
    <t>محدودیتها</t>
  </si>
  <si>
    <t>CP</t>
  </si>
  <si>
    <t>ME</t>
  </si>
  <si>
    <t>متیونین+سیستین</t>
  </si>
  <si>
    <t xml:space="preserve">پروتئین </t>
  </si>
  <si>
    <t>NDF</t>
  </si>
  <si>
    <t>ADF</t>
  </si>
  <si>
    <t>kcal/kg</t>
  </si>
  <si>
    <t>%</t>
  </si>
  <si>
    <t>mEq/kg</t>
  </si>
  <si>
    <t>نیاز غذایی</t>
  </si>
  <si>
    <t>مواد غذایی</t>
  </si>
  <si>
    <t>مواد مغذی</t>
  </si>
  <si>
    <t>مقدار %</t>
  </si>
  <si>
    <t>g/kg</t>
  </si>
  <si>
    <t>DCAB</t>
  </si>
  <si>
    <t>Na</t>
  </si>
  <si>
    <t>K</t>
  </si>
  <si>
    <t>Cl</t>
  </si>
  <si>
    <t>Choline</t>
  </si>
  <si>
    <t>EE</t>
  </si>
  <si>
    <t>CF</t>
  </si>
  <si>
    <t>Ash</t>
  </si>
  <si>
    <t>اندازه میکسر</t>
  </si>
  <si>
    <t xml:space="preserve">انرژی </t>
  </si>
  <si>
    <t xml:space="preserve">ترئونین  </t>
  </si>
  <si>
    <t xml:space="preserve">تریپتوفان </t>
  </si>
  <si>
    <t xml:space="preserve">آرژنین </t>
  </si>
  <si>
    <t xml:space="preserve">ایزولوسین </t>
  </si>
  <si>
    <t xml:space="preserve">والین </t>
  </si>
  <si>
    <t xml:space="preserve">کلسیم </t>
  </si>
  <si>
    <t xml:space="preserve">سدیم </t>
  </si>
  <si>
    <t xml:space="preserve">پتاسیم </t>
  </si>
  <si>
    <t xml:space="preserve">کلر </t>
  </si>
  <si>
    <t xml:space="preserve">کولین </t>
  </si>
  <si>
    <t xml:space="preserve">اسیدلینولئیک </t>
  </si>
  <si>
    <t xml:space="preserve">فیبر خام </t>
  </si>
  <si>
    <t xml:space="preserve">خاکستر  </t>
  </si>
  <si>
    <t>فسفر دسترس</t>
  </si>
  <si>
    <t>ایزولوسین</t>
  </si>
  <si>
    <t>سهم قیمت</t>
  </si>
  <si>
    <t>پودر گوشت مرغی</t>
  </si>
  <si>
    <t>حداقل</t>
  </si>
  <si>
    <t>حداکثر</t>
  </si>
  <si>
    <t>Min</t>
  </si>
  <si>
    <t>Max</t>
  </si>
  <si>
    <t>Ether Extract %</t>
  </si>
  <si>
    <t>Crude Fiber %</t>
  </si>
  <si>
    <t>Pellet Quality Factor</t>
  </si>
  <si>
    <t>جو</t>
  </si>
  <si>
    <t>گلوتن گندم</t>
  </si>
  <si>
    <t>سویای پرچرب</t>
  </si>
  <si>
    <t>لیزین هیدروکلراید</t>
  </si>
  <si>
    <t>کلرید سدیم (نمک)</t>
  </si>
  <si>
    <t>مکمل ویتامینی و معدنی</t>
  </si>
  <si>
    <t>بنتونیت</t>
  </si>
  <si>
    <t xml:space="preserve">بیکربنات سدیم </t>
  </si>
  <si>
    <t>Mg %</t>
  </si>
  <si>
    <t>S %</t>
  </si>
  <si>
    <t>Gly(Total) %</t>
  </si>
  <si>
    <t>Ser(Total) %</t>
  </si>
  <si>
    <t>Lys</t>
  </si>
  <si>
    <t>Thr</t>
  </si>
  <si>
    <t>Trp</t>
  </si>
  <si>
    <t>Arg</t>
  </si>
  <si>
    <t>Ile</t>
  </si>
  <si>
    <t>Val</t>
  </si>
  <si>
    <t>Ca</t>
  </si>
  <si>
    <t>Ava. P</t>
  </si>
  <si>
    <t>PQF</t>
  </si>
  <si>
    <t>مکمل Vit-Min</t>
  </si>
  <si>
    <t>BD</t>
  </si>
  <si>
    <t>Lin Acid</t>
  </si>
  <si>
    <t>Starch</t>
  </si>
  <si>
    <t>نشاسته</t>
  </si>
  <si>
    <t>پودر استخوان</t>
  </si>
  <si>
    <t>برنج</t>
  </si>
  <si>
    <t>Met</t>
  </si>
  <si>
    <t>Leu</t>
  </si>
  <si>
    <t>Mg</t>
  </si>
  <si>
    <t>S</t>
  </si>
  <si>
    <t>Sugar</t>
  </si>
  <si>
    <t>NFE</t>
  </si>
  <si>
    <t>DM</t>
  </si>
  <si>
    <t>Met+Cys</t>
  </si>
  <si>
    <t>Tot. P</t>
  </si>
  <si>
    <t>چربی طیور</t>
  </si>
  <si>
    <t>کلرید پتاسیم</t>
  </si>
  <si>
    <t>تری سدیم پنتافسفات</t>
  </si>
  <si>
    <t>اسید پروپیونیک</t>
  </si>
  <si>
    <t>پریبیوتیک</t>
  </si>
  <si>
    <t>توکسین بایندر</t>
  </si>
  <si>
    <t>EE Oil Free %</t>
  </si>
  <si>
    <t>Lys %</t>
  </si>
  <si>
    <t>Met %</t>
  </si>
  <si>
    <t>Met+Cys %</t>
  </si>
  <si>
    <t>Thr %</t>
  </si>
  <si>
    <t>Trp %</t>
  </si>
  <si>
    <t>Arg %</t>
  </si>
  <si>
    <t>Ile %</t>
  </si>
  <si>
    <t>Leu %</t>
  </si>
  <si>
    <t>Val %</t>
  </si>
  <si>
    <t>His %</t>
  </si>
  <si>
    <t>His</t>
  </si>
  <si>
    <t>Phe %</t>
  </si>
  <si>
    <t>Phe</t>
  </si>
  <si>
    <t>Tyr %</t>
  </si>
  <si>
    <t>Phe+Tyr %</t>
  </si>
  <si>
    <t>Phe+Tyr</t>
  </si>
  <si>
    <t>لوسین</t>
  </si>
  <si>
    <t>هیستیدین</t>
  </si>
  <si>
    <t>فنیل آلانین</t>
  </si>
  <si>
    <t>فنیل آلانین+تیروزین</t>
  </si>
  <si>
    <t xml:space="preserve">متیونین </t>
  </si>
  <si>
    <t>چربی</t>
  </si>
  <si>
    <t>چربی مواد غذایی</t>
  </si>
  <si>
    <t>احتیاجات غذایی</t>
  </si>
  <si>
    <t>Taurine %</t>
  </si>
  <si>
    <t>Taurine</t>
  </si>
  <si>
    <t>تائورین</t>
  </si>
  <si>
    <t>مکمل گربه</t>
  </si>
  <si>
    <t xml:space="preserve"> </t>
  </si>
  <si>
    <t>درصد مکمل در خوراک</t>
  </si>
  <si>
    <t>میلیگرم و یا IU در 1 کیلوگرم خوراک</t>
  </si>
  <si>
    <t>کیلوگرم و یا IU در 100 کیلوگرم مکمل</t>
  </si>
  <si>
    <t>mg و یا IU در 1 کیلوگرم مکمل</t>
  </si>
  <si>
    <t>اقلام مکمل</t>
  </si>
  <si>
    <t>خلوص % و یا IU/kg</t>
  </si>
  <si>
    <t>کیلوگرم در 100 کیلوگرم مکمل</t>
  </si>
  <si>
    <t>چگالی کیلوگرم در مترمکعب</t>
  </si>
  <si>
    <t>سهم چگالی</t>
  </si>
  <si>
    <t>ویتامین  A</t>
  </si>
  <si>
    <t>IU</t>
  </si>
  <si>
    <t>Vitamin A</t>
  </si>
  <si>
    <t>ویتامین D3</t>
  </si>
  <si>
    <t>Vitamin D</t>
  </si>
  <si>
    <t>ویتامین E</t>
  </si>
  <si>
    <t>mg</t>
  </si>
  <si>
    <t>Vitamin E</t>
  </si>
  <si>
    <t>ویتامین K3</t>
  </si>
  <si>
    <t>Vitamin K</t>
  </si>
  <si>
    <t>ویتامین B1</t>
  </si>
  <si>
    <t>Vitamin B1</t>
  </si>
  <si>
    <t>ویتامین B2</t>
  </si>
  <si>
    <t>Vitamin B2</t>
  </si>
  <si>
    <t>نیاسین</t>
  </si>
  <si>
    <t>Niacin</t>
  </si>
  <si>
    <t>پنتوتنات</t>
  </si>
  <si>
    <t>Calpan</t>
  </si>
  <si>
    <t>ویتامین B6</t>
  </si>
  <si>
    <t>Vitamin B6</t>
  </si>
  <si>
    <t>بیوتین</t>
  </si>
  <si>
    <t>Biotin</t>
  </si>
  <si>
    <t>اسید فولیک</t>
  </si>
  <si>
    <t>Folic acid</t>
  </si>
  <si>
    <t>ویتامین B12</t>
  </si>
  <si>
    <t>Vitamin B12</t>
  </si>
  <si>
    <t>ویتامین C</t>
  </si>
  <si>
    <t>Vitamin C</t>
  </si>
  <si>
    <t>آنتی اکسیدان</t>
  </si>
  <si>
    <t>کولین</t>
  </si>
  <si>
    <t>کولین کلراید</t>
  </si>
  <si>
    <t>میلیگرم در 1 کیلوگرم خوراک</t>
  </si>
  <si>
    <t>mg در 1 کیلوگرم مکمل</t>
  </si>
  <si>
    <t>خلوص %</t>
  </si>
  <si>
    <t>روی</t>
  </si>
  <si>
    <t>سولفات روی</t>
  </si>
  <si>
    <t>منگنز</t>
  </si>
  <si>
    <t>سولفات منگنز</t>
  </si>
  <si>
    <t>مس</t>
  </si>
  <si>
    <t>سولفات مس</t>
  </si>
  <si>
    <t>آهن</t>
  </si>
  <si>
    <t>سولفات آهن</t>
  </si>
  <si>
    <t>سلنیم</t>
  </si>
  <si>
    <t>سلنیت سدیم</t>
  </si>
  <si>
    <t>ید</t>
  </si>
  <si>
    <t>یدات پتاسیم</t>
  </si>
  <si>
    <t>مکمل سگ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</si>
</sst>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31" x14ac:knownFonts="1">
    <font>
      <sz val="11"/>
      <color theme="1"/>
      <name val="Calibri"/>
      <family val="2"/>
      <scheme val="minor"/>
    </font>
    <font>
      <sz val="12"/>
      <name val="Tahoma"/>
      <family val="2"/>
    </font>
    <font>
      <sz val="12"/>
      <color theme="0" tint="-0.499984740745262"/>
      <name val="Tahoma"/>
      <family val="2"/>
    </font>
    <font>
      <sz val="12"/>
      <color rgb="FF0070C0"/>
      <name val="Tahoma"/>
      <family val="2"/>
    </font>
    <font>
      <b/>
      <sz val="12"/>
      <color theme="4" tint="-0.499984740745262"/>
      <name val="Tahoma"/>
      <family val="2"/>
    </font>
    <font>
      <sz val="12"/>
      <color theme="4" tint="-0.499984740745262"/>
      <name val="Tahoma"/>
      <family val="2"/>
    </font>
    <font>
      <b/>
      <sz val="12"/>
      <color rgb="FF0070C0"/>
      <name val="Tahoma"/>
      <family val="2"/>
    </font>
    <font>
      <sz val="12"/>
      <color theme="5" tint="-0.249977111117893"/>
      <name val="Tahoma"/>
      <family val="2"/>
    </font>
    <font>
      <sz val="11"/>
      <color theme="0" tint="-0.499984740745262"/>
      <name val="Tahoma"/>
      <family val="2"/>
    </font>
    <font>
      <sz val="11"/>
      <color rgb="FF002060"/>
      <name val="Calibri"/>
      <family val="2"/>
      <scheme val="minor"/>
    </font>
    <font>
      <sz val="11"/>
      <color rgb="FF002060"/>
      <name val="Tahoma"/>
      <family val="2"/>
    </font>
    <font>
      <sz val="11"/>
      <color theme="0" tint="-0.499984740745262"/>
      <name val="Calibri"/>
      <family val="2"/>
      <scheme val="minor"/>
    </font>
    <font>
      <sz val="12"/>
      <color rgb="FF002060"/>
      <name val="Tahoma"/>
      <family val="2"/>
    </font>
    <font>
      <b/>
      <sz val="12"/>
      <color rgb="FFC00000"/>
      <name val="Tahoma"/>
      <family val="2"/>
    </font>
    <font>
      <sz val="12"/>
      <color rgb="FF00206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2"/>
      <color theme="2" tint="-0.499984740745262"/>
      <name val="Tahoma"/>
      <family val="2"/>
    </font>
    <font>
      <sz val="11"/>
      <color theme="2" tint="-0.499984740745262"/>
      <name val="Tahoma"/>
      <family val="2"/>
    </font>
    <font>
      <sz val="11"/>
      <color rgb="FF0070C0"/>
      <name val="Calibri"/>
      <family val="2"/>
      <scheme val="minor"/>
    </font>
    <font>
      <sz val="11"/>
      <color rgb="FF0070C0"/>
      <name val="Tahoma"/>
      <family val="2"/>
    </font>
    <font>
      <b/>
      <sz val="12"/>
      <color rgb="FF002060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4" fillId="0" borderId="13" xfId="0" applyFont="1" applyBorder="1" applyAlignment="1">
      <alignment horizontal="right" vertical="center" readingOrder="2"/>
    </xf>
    <xf numFmtId="2" fontId="4" fillId="0" borderId="12" xfId="0" applyNumberFormat="1" applyFont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49" fontId="3" fillId="0" borderId="5" xfId="0" applyNumberFormat="1" applyFont="1" applyBorder="1" applyAlignment="1">
      <alignment horizontal="center" vertical="center" readingOrder="2"/>
    </xf>
    <xf numFmtId="1" fontId="3" fillId="2" borderId="3" xfId="0" applyNumberFormat="1" applyFont="1" applyFill="1" applyBorder="1" applyAlignment="1">
      <alignment horizontal="center" vertical="center" readingOrder="2"/>
    </xf>
    <xf numFmtId="0" fontId="6" fillId="2" borderId="2" xfId="0" applyFont="1" applyFill="1" applyBorder="1" applyAlignment="1">
      <alignment horizontal="center" vertical="center" readingOrder="2"/>
    </xf>
    <xf numFmtId="0" fontId="6" fillId="2" borderId="3" xfId="0" applyFont="1" applyFill="1" applyBorder="1" applyAlignment="1">
      <alignment horizontal="center" vertical="center" readingOrder="2"/>
    </xf>
    <xf numFmtId="2" fontId="6" fillId="2" borderId="2" xfId="0" applyNumberFormat="1" applyFont="1" applyFill="1" applyBorder="1" applyAlignment="1">
      <alignment horizontal="center" vertical="center" readingOrder="2"/>
    </xf>
    <xf numFmtId="164" fontId="3" fillId="0" borderId="0" xfId="0" applyNumberFormat="1" applyFont="1" applyAlignment="1">
      <alignment horizontal="center" vertical="center" readingOrder="2"/>
    </xf>
    <xf numFmtId="2" fontId="6" fillId="2" borderId="3" xfId="0" applyNumberFormat="1" applyFont="1" applyFill="1" applyBorder="1" applyAlignment="1">
      <alignment horizontal="center" vertical="center" readingOrder="2"/>
    </xf>
    <xf numFmtId="2" fontId="3" fillId="2" borderId="0" xfId="0" applyNumberFormat="1" applyFont="1" applyFill="1" applyAlignment="1">
      <alignment horizontal="center" vertical="center" readingOrder="2"/>
    </xf>
    <xf numFmtId="2" fontId="3" fillId="0" borderId="0" xfId="0" applyNumberFormat="1" applyFont="1" applyAlignment="1">
      <alignment horizontal="center" vertical="center" readingOrder="2"/>
    </xf>
    <xf numFmtId="1" fontId="6" fillId="2" borderId="2" xfId="0" applyNumberFormat="1" applyFont="1" applyFill="1" applyBorder="1" applyAlignment="1">
      <alignment horizontal="center" vertical="center" readingOrder="2"/>
    </xf>
    <xf numFmtId="1" fontId="6" fillId="2" borderId="3" xfId="0" applyNumberFormat="1" applyFont="1" applyFill="1" applyBorder="1" applyAlignment="1">
      <alignment horizontal="center" vertical="center" readingOrder="2"/>
    </xf>
    <xf numFmtId="2" fontId="6" fillId="2" borderId="0" xfId="0" applyNumberFormat="1" applyFont="1" applyFill="1" applyAlignment="1">
      <alignment horizontal="center" vertical="center" readingOrder="2"/>
    </xf>
    <xf numFmtId="2" fontId="6" fillId="2" borderId="4" xfId="0" applyNumberFormat="1" applyFont="1" applyFill="1" applyBorder="1" applyAlignment="1">
      <alignment horizontal="center" vertical="center" readingOrder="2"/>
    </xf>
    <xf numFmtId="2" fontId="6" fillId="2" borderId="5" xfId="0" applyNumberFormat="1" applyFont="1" applyFill="1" applyBorder="1" applyAlignment="1">
      <alignment horizontal="center" vertical="center" readingOrder="2"/>
    </xf>
    <xf numFmtId="2" fontId="6" fillId="2" borderId="6" xfId="0" applyNumberFormat="1" applyFont="1" applyFill="1" applyBorder="1" applyAlignment="1">
      <alignment horizontal="center" vertical="center" readingOrder="2"/>
    </xf>
    <xf numFmtId="0" fontId="6" fillId="2" borderId="0" xfId="0" applyFont="1" applyFill="1" applyAlignment="1">
      <alignment horizontal="center" vertical="center" readingOrder="2"/>
    </xf>
    <xf numFmtId="1" fontId="6" fillId="2" borderId="0" xfId="0" applyNumberFormat="1" applyFont="1" applyFill="1" applyAlignment="1">
      <alignment horizontal="center" vertical="center" readingOrder="2"/>
    </xf>
    <xf numFmtId="0" fontId="3" fillId="2" borderId="5" xfId="0" applyFont="1" applyFill="1" applyBorder="1" applyAlignment="1">
      <alignment horizontal="center" vertical="center" readingOrder="2"/>
    </xf>
    <xf numFmtId="2" fontId="3" fillId="0" borderId="5" xfId="0" applyNumberFormat="1" applyFont="1" applyBorder="1" applyAlignment="1">
      <alignment horizontal="center" vertical="center" readingOrder="1"/>
    </xf>
    <xf numFmtId="3" fontId="7" fillId="0" borderId="13" xfId="0" applyNumberFormat="1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164" fontId="3" fillId="0" borderId="5" xfId="0" applyNumberFormat="1" applyFont="1" applyBorder="1" applyAlignment="1">
      <alignment horizontal="center" vertical="center" readingOrder="2"/>
    </xf>
    <xf numFmtId="0" fontId="5" fillId="0" borderId="16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8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/>
    <xf numFmtId="1" fontId="7" fillId="0" borderId="0" xfId="0" applyNumberFormat="1" applyFont="1" applyFill="1" applyBorder="1" applyAlignment="1">
      <alignment horizontal="center" vertical="center" readingOrder="2"/>
    </xf>
    <xf numFmtId="0" fontId="8" fillId="3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readingOrder="2"/>
    </xf>
    <xf numFmtId="0" fontId="2" fillId="0" borderId="18" xfId="0" applyFont="1" applyBorder="1" applyAlignment="1">
      <alignment horizontal="center" vertical="center" readingOrder="2"/>
    </xf>
    <xf numFmtId="1" fontId="10" fillId="3" borderId="0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9" fillId="3" borderId="0" xfId="0" applyFont="1" applyFill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/>
    <xf numFmtId="1" fontId="7" fillId="3" borderId="0" xfId="0" applyNumberFormat="1" applyFont="1" applyFill="1" applyBorder="1" applyAlignment="1">
      <alignment horizontal="center" vertical="center" readingOrder="2"/>
    </xf>
    <xf numFmtId="3" fontId="7" fillId="3" borderId="13" xfId="0" applyNumberFormat="1" applyFont="1" applyFill="1" applyBorder="1" applyAlignment="1">
      <alignment horizontal="center" vertical="center" readingOrder="2"/>
    </xf>
    <xf numFmtId="0" fontId="4" fillId="3" borderId="13" xfId="0" applyFont="1" applyFill="1" applyBorder="1" applyAlignment="1">
      <alignment horizontal="right" vertical="center" readingOrder="2"/>
    </xf>
    <xf numFmtId="0" fontId="4" fillId="3" borderId="0" xfId="0" applyFont="1" applyFill="1" applyBorder="1" applyAlignment="1">
      <alignment horizontal="center" vertical="center" readingOrder="2"/>
    </xf>
    <xf numFmtId="1" fontId="4" fillId="3" borderId="12" xfId="0" applyNumberFormat="1" applyFont="1" applyFill="1" applyBorder="1" applyAlignment="1">
      <alignment horizontal="center" vertical="center" readingOrder="2"/>
    </xf>
    <xf numFmtId="2" fontId="4" fillId="3" borderId="12" xfId="0" applyNumberFormat="1" applyFont="1" applyFill="1" applyBorder="1" applyAlignment="1">
      <alignment horizontal="center" vertical="center" readingOrder="2"/>
    </xf>
    <xf numFmtId="0" fontId="9" fillId="3" borderId="0" xfId="0" applyFont="1" applyFill="1" applyAlignment="1">
      <alignment horizontal="right"/>
    </xf>
    <xf numFmtId="0" fontId="11" fillId="3" borderId="0" xfId="0" applyFont="1" applyFill="1"/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/>
    <xf numFmtId="0" fontId="3" fillId="3" borderId="0" xfId="0" applyFont="1" applyFill="1" applyAlignment="1">
      <alignment horizontal="center" vertical="center" readingOrder="2"/>
    </xf>
    <xf numFmtId="0" fontId="10" fillId="3" borderId="0" xfId="0" applyFont="1" applyFill="1" applyAlignment="1">
      <alignment horizontal="right" vertical="center"/>
    </xf>
    <xf numFmtId="1" fontId="3" fillId="3" borderId="0" xfId="0" applyNumberFormat="1" applyFont="1" applyFill="1" applyAlignment="1">
      <alignment horizontal="center" vertical="center" readingOrder="2"/>
    </xf>
    <xf numFmtId="2" fontId="3" fillId="3" borderId="0" xfId="0" applyNumberFormat="1" applyFont="1" applyFill="1" applyAlignment="1">
      <alignment horizontal="center" vertical="center" readingOrder="2"/>
    </xf>
    <xf numFmtId="1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1" fontId="13" fillId="3" borderId="2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/>
    </xf>
    <xf numFmtId="0" fontId="14" fillId="3" borderId="0" xfId="0" applyFont="1" applyFill="1"/>
    <xf numFmtId="0" fontId="15" fillId="3" borderId="0" xfId="0" applyFont="1" applyFill="1"/>
    <xf numFmtId="2" fontId="4" fillId="0" borderId="12" xfId="0" applyNumberFormat="1" applyFont="1" applyFill="1" applyBorder="1" applyAlignment="1">
      <alignment horizontal="center" vertical="center" readingOrder="2"/>
    </xf>
    <xf numFmtId="0" fontId="8" fillId="0" borderId="1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center" vertical="center" readingOrder="2"/>
    </xf>
    <xf numFmtId="2" fontId="6" fillId="2" borderId="0" xfId="0" applyNumberFormat="1" applyFont="1" applyFill="1" applyBorder="1" applyAlignment="1">
      <alignment horizontal="center" vertical="center" readingOrder="2"/>
    </xf>
    <xf numFmtId="0" fontId="16" fillId="3" borderId="0" xfId="0" applyFont="1" applyFill="1"/>
    <xf numFmtId="0" fontId="17" fillId="3" borderId="0" xfId="0" applyFont="1" applyFill="1"/>
    <xf numFmtId="0" fontId="18" fillId="0" borderId="16" xfId="0" applyFont="1" applyBorder="1" applyAlignment="1">
      <alignment vertical="center" readingOrder="2"/>
    </xf>
    <xf numFmtId="0" fontId="18" fillId="0" borderId="17" xfId="0" applyFont="1" applyBorder="1" applyAlignment="1">
      <alignment vertical="center" readingOrder="2"/>
    </xf>
    <xf numFmtId="0" fontId="18" fillId="0" borderId="5" xfId="0" applyFont="1" applyBorder="1" applyAlignment="1">
      <alignment horizontal="center" vertical="center" readingOrder="2"/>
    </xf>
    <xf numFmtId="0" fontId="18" fillId="0" borderId="18" xfId="0" applyFont="1" applyBorder="1" applyAlignment="1">
      <alignment horizontal="center" vertical="center" readingOrder="2"/>
    </xf>
    <xf numFmtId="0" fontId="19" fillId="3" borderId="0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6" fillId="0" borderId="0" xfId="0" applyFont="1" applyFill="1"/>
    <xf numFmtId="0" fontId="16" fillId="0" borderId="0" xfId="0" applyFont="1"/>
    <xf numFmtId="164" fontId="18" fillId="0" borderId="16" xfId="0" applyNumberFormat="1" applyFont="1" applyBorder="1" applyAlignment="1">
      <alignment horizontal="center" vertical="center" readingOrder="2"/>
    </xf>
    <xf numFmtId="164" fontId="18" fillId="0" borderId="5" xfId="0" applyNumberFormat="1" applyFont="1" applyBorder="1" applyAlignment="1">
      <alignment horizontal="center" vertical="center" readingOrder="2"/>
    </xf>
    <xf numFmtId="2" fontId="19" fillId="3" borderId="0" xfId="0" applyNumberFormat="1" applyFont="1" applyFill="1" applyBorder="1" applyAlignment="1">
      <alignment horizontal="center" vertical="center"/>
    </xf>
    <xf numFmtId="1" fontId="19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21" fillId="3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0" fillId="0" borderId="0" xfId="0" applyFont="1"/>
    <xf numFmtId="0" fontId="12" fillId="0" borderId="2" xfId="0" applyFont="1" applyBorder="1" applyAlignment="1">
      <alignment horizontal="right" vertical="center" readingOrder="2"/>
    </xf>
    <xf numFmtId="0" fontId="12" fillId="3" borderId="2" xfId="0" applyFont="1" applyFill="1" applyBorder="1" applyAlignment="1">
      <alignment horizontal="right" vertical="center" readingOrder="2"/>
    </xf>
    <xf numFmtId="0" fontId="12" fillId="0" borderId="2" xfId="0" applyFont="1" applyBorder="1" applyAlignment="1">
      <alignment horizontal="right" vertical="center"/>
    </xf>
    <xf numFmtId="2" fontId="3" fillId="0" borderId="0" xfId="0" applyNumberFormat="1" applyFont="1" applyFill="1" applyAlignment="1">
      <alignment horizontal="center" vertical="center" readingOrder="2"/>
    </xf>
    <xf numFmtId="164" fontId="19" fillId="0" borderId="0" xfId="0" applyNumberFormat="1" applyFont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2" fontId="22" fillId="3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2" fontId="22" fillId="3" borderId="19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Fill="1" applyBorder="1"/>
    <xf numFmtId="1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5" fontId="2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5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right" vertical="center" readingOrder="2"/>
    </xf>
    <xf numFmtId="0" fontId="8" fillId="0" borderId="13" xfId="0" applyFont="1" applyBorder="1" applyAlignment="1">
      <alignment horizontal="right" vertical="center" readingOrder="2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6" xfId="0" applyFont="1" applyBorder="1"/>
    <xf numFmtId="2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9" fillId="0" borderId="15" xfId="0" applyFont="1" applyBorder="1"/>
    <xf numFmtId="0" fontId="8" fillId="0" borderId="9" xfId="0" applyFont="1" applyBorder="1" applyAlignment="1">
      <alignment horizontal="center" vertical="center"/>
    </xf>
    <xf numFmtId="0" fontId="9" fillId="3" borderId="7" xfId="0" applyFont="1" applyFill="1" applyBorder="1"/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 readingOrder="2"/>
    </xf>
    <xf numFmtId="0" fontId="12" fillId="0" borderId="2" xfId="0" applyFont="1" applyFill="1" applyBorder="1" applyAlignment="1">
      <alignment horizontal="right" vertical="center" readingOrder="2"/>
    </xf>
    <xf numFmtId="2" fontId="22" fillId="0" borderId="0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 readingOrder="2"/>
    </xf>
    <xf numFmtId="1" fontId="7" fillId="3" borderId="7" xfId="0" applyNumberFormat="1" applyFont="1" applyFill="1" applyBorder="1" applyAlignment="1">
      <alignment horizontal="center" vertical="center" readingOrder="2"/>
    </xf>
    <xf numFmtId="0" fontId="12" fillId="3" borderId="22" xfId="0" applyFont="1" applyFill="1" applyBorder="1" applyAlignment="1">
      <alignment horizontal="right" vertical="center" readingOrder="2"/>
    </xf>
    <xf numFmtId="2" fontId="22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 readingOrder="2"/>
    </xf>
    <xf numFmtId="0" fontId="12" fillId="3" borderId="0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 readingOrder="2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/>
    </xf>
    <xf numFmtId="164" fontId="10" fillId="3" borderId="7" xfId="0" applyNumberFormat="1" applyFont="1" applyFill="1" applyBorder="1" applyAlignment="1">
      <alignment horizontal="center" vertical="center"/>
    </xf>
    <xf numFmtId="2" fontId="10" fillId="3" borderId="7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 readingOrder="2"/>
    </xf>
    <xf numFmtId="0" fontId="21" fillId="0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 readingOrder="2"/>
    </xf>
    <xf numFmtId="0" fontId="8" fillId="3" borderId="11" xfId="0" applyFont="1" applyFill="1" applyBorder="1" applyAlignment="1">
      <alignment horizontal="right" vertical="center" readingOrder="2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readingOrder="2"/>
    </xf>
    <xf numFmtId="2" fontId="3" fillId="0" borderId="0" xfId="0" applyNumberFormat="1" applyFont="1" applyFill="1" applyBorder="1" applyAlignment="1">
      <alignment horizontal="center" vertical="center" readingOrder="2"/>
    </xf>
    <xf numFmtId="2" fontId="10" fillId="3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readingOrder="2"/>
    </xf>
    <xf numFmtId="2" fontId="22" fillId="3" borderId="23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 readingOrder="2"/>
    </xf>
    <xf numFmtId="1" fontId="7" fillId="0" borderId="7" xfId="0" applyNumberFormat="1" applyFont="1" applyFill="1" applyBorder="1" applyAlignment="1">
      <alignment horizontal="center" vertical="center" readingOrder="2"/>
    </xf>
    <xf numFmtId="0" fontId="12" fillId="0" borderId="22" xfId="0" applyFont="1" applyFill="1" applyBorder="1" applyAlignment="1">
      <alignment horizontal="right" vertical="center" readingOrder="2"/>
    </xf>
    <xf numFmtId="2" fontId="22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 readingOrder="2"/>
    </xf>
    <xf numFmtId="0" fontId="4" fillId="0" borderId="11" xfId="0" applyFont="1" applyFill="1" applyBorder="1" applyAlignment="1">
      <alignment horizontal="right" vertical="center" readingOrder="2"/>
    </xf>
    <xf numFmtId="0" fontId="4" fillId="0" borderId="7" xfId="0" applyFont="1" applyFill="1" applyBorder="1" applyAlignment="1">
      <alignment horizontal="center" vertical="center" readingOrder="2"/>
    </xf>
    <xf numFmtId="2" fontId="3" fillId="0" borderId="7" xfId="0" applyNumberFormat="1" applyFont="1" applyFill="1" applyBorder="1" applyAlignment="1">
      <alignment horizontal="center" vertical="center" readingOrder="2"/>
    </xf>
    <xf numFmtId="0" fontId="21" fillId="0" borderId="7" xfId="0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 readingOrder="2"/>
    </xf>
    <xf numFmtId="2" fontId="3" fillId="0" borderId="5" xfId="0" applyNumberFormat="1" applyFont="1" applyBorder="1" applyAlignment="1">
      <alignment horizontal="center" vertical="center" readingOrder="2"/>
    </xf>
    <xf numFmtId="0" fontId="8" fillId="0" borderId="9" xfId="0" applyFont="1" applyFill="1" applyBorder="1" applyAlignment="1">
      <alignment horizontal="right" vertical="center" readingOrder="2"/>
    </xf>
    <xf numFmtId="1" fontId="8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readingOrder="2"/>
    </xf>
    <xf numFmtId="0" fontId="7" fillId="0" borderId="16" xfId="0" applyFont="1" applyBorder="1" applyAlignment="1">
      <alignment horizontal="center" vertical="center" readingOrder="2"/>
    </xf>
    <xf numFmtId="0" fontId="7" fillId="0" borderId="5" xfId="0" applyFont="1" applyBorder="1" applyAlignment="1">
      <alignment horizontal="center" vertical="center" readingOrder="2"/>
    </xf>
    <xf numFmtId="0" fontId="4" fillId="0" borderId="16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2" fillId="0" borderId="16" xfId="0" applyFont="1" applyBorder="1" applyAlignment="1">
      <alignment horizontal="center" vertical="center" readingOrder="2"/>
    </xf>
    <xf numFmtId="0" fontId="2" fillId="0" borderId="17" xfId="0" applyFont="1" applyBorder="1" applyAlignment="1">
      <alignment horizontal="center" vertical="center" readingOrder="2"/>
    </xf>
    <xf numFmtId="0" fontId="4" fillId="0" borderId="15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164" fontId="3" fillId="0" borderId="16" xfId="0" applyNumberFormat="1" applyFont="1" applyBorder="1" applyAlignment="1">
      <alignment horizontal="center" vertical="center" readingOrder="2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 readingOrder="2"/>
    </xf>
    <xf numFmtId="164" fontId="4" fillId="0" borderId="18" xfId="0" applyNumberFormat="1" applyFont="1" applyBorder="1" applyAlignment="1">
      <alignment horizontal="center" vertical="center" readingOrder="2"/>
    </xf>
    <xf numFmtId="0" fontId="9" fillId="0" borderId="1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readingOrder="2"/>
    </xf>
    <xf numFmtId="1" fontId="3" fillId="0" borderId="8" xfId="0" applyNumberFormat="1" applyFont="1" applyBorder="1" applyAlignment="1">
      <alignment horizontal="center" vertical="center" readingOrder="2"/>
    </xf>
    <xf numFmtId="1" fontId="3" fillId="0" borderId="14" xfId="0" applyNumberFormat="1" applyFont="1" applyBorder="1" applyAlignment="1">
      <alignment horizontal="center" vertical="center" readingOrder="2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4" borderId="24" xfId="0" applyFont="1" applyFill="1" applyBorder="1" applyAlignment="1">
      <alignment horizontal="center"/>
    </xf>
    <xf numFmtId="0" fontId="29" fillId="4" borderId="24" xfId="0" applyFont="1" applyFill="1" applyBorder="1" applyAlignment="1">
      <alignment horizontal="right"/>
    </xf>
    <xf numFmtId="0" fontId="23" fillId="4" borderId="23" xfId="0" applyFont="1" applyFill="1" applyBorder="1" applyAlignment="1">
      <alignment horizontal="center"/>
    </xf>
    <xf numFmtId="0" fontId="29" fillId="4" borderId="23" xfId="0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5" fillId="0" borderId="26" xfId="0" applyFont="1" applyBorder="1" applyAlignment="1">
      <alignment horizontal="center" readingOrder="2"/>
    </xf>
    <xf numFmtId="0" fontId="24" fillId="0" borderId="25" xfId="0" applyFont="1" applyBorder="1" applyAlignment="1">
      <alignment horizontal="right"/>
    </xf>
    <xf numFmtId="0" fontId="24" fillId="0" borderId="26" xfId="0" applyFont="1" applyBorder="1" applyAlignment="1">
      <alignment horizontal="right"/>
    </xf>
    <xf numFmtId="0" fontId="26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7" fillId="0" borderId="26" xfId="0" applyFont="1" applyBorder="1"/>
    <xf numFmtId="0" fontId="27" fillId="0" borderId="27" xfId="0" applyFont="1" applyBorder="1"/>
    <xf numFmtId="0" fontId="0" fillId="0" borderId="13" xfId="0" applyBorder="1"/>
    <xf numFmtId="3" fontId="23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right"/>
    </xf>
    <xf numFmtId="2" fontId="24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165" fontId="0" fillId="0" borderId="12" xfId="0" applyNumberFormat="1" applyBorder="1" applyAlignment="1">
      <alignment horizontal="center"/>
    </xf>
    <xf numFmtId="0" fontId="27" fillId="0" borderId="0" xfId="0" applyFont="1" applyAlignment="1">
      <alignment horizontal="center"/>
    </xf>
    <xf numFmtId="1" fontId="27" fillId="0" borderId="12" xfId="0" applyNumberFormat="1" applyFont="1" applyBorder="1" applyAlignment="1">
      <alignment horizontal="center"/>
    </xf>
    <xf numFmtId="3" fontId="28" fillId="0" borderId="28" xfId="0" applyNumberFormat="1" applyFont="1" applyBorder="1" applyAlignment="1">
      <alignment horizontal="center"/>
    </xf>
    <xf numFmtId="164" fontId="27" fillId="0" borderId="12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4" fillId="0" borderId="9" xfId="0" applyFont="1" applyBorder="1" applyAlignment="1">
      <alignment horizontal="right"/>
    </xf>
    <xf numFmtId="2" fontId="24" fillId="0" borderId="5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27" fillId="0" borderId="5" xfId="0" applyFont="1" applyBorder="1" applyAlignment="1">
      <alignment horizontal="center"/>
    </xf>
    <xf numFmtId="1" fontId="27" fillId="0" borderId="18" xfId="0" applyNumberFormat="1" applyFont="1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4" fillId="0" borderId="11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5" fontId="24" fillId="3" borderId="10" xfId="0" applyNumberFormat="1" applyFont="1" applyFill="1" applyBorder="1" applyAlignment="1">
      <alignment horizontal="center"/>
    </xf>
    <xf numFmtId="0" fontId="27" fillId="0" borderId="7" xfId="0" applyFont="1" applyBorder="1"/>
    <xf numFmtId="1" fontId="30" fillId="3" borderId="10" xfId="0" applyNumberFormat="1" applyFont="1" applyFill="1" applyBorder="1" applyAlignment="1">
      <alignment horizontal="center"/>
    </xf>
    <xf numFmtId="0" fontId="0" fillId="0" borderId="26" xfId="0" applyBorder="1"/>
    <xf numFmtId="0" fontId="27" fillId="0" borderId="25" xfId="0" applyFont="1" applyBorder="1"/>
    <xf numFmtId="2" fontId="0" fillId="0" borderId="12" xfId="0" applyNumberForma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0" fillId="0" borderId="5" xfId="0" applyBorder="1"/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0" fillId="0" borderId="7" xfId="0" applyBorder="1"/>
    <xf numFmtId="0" fontId="0" fillId="0" borderId="10" xfId="0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66" fontId="25" fillId="0" borderId="0" xfId="0" applyNumberFormat="1" applyFont="1" applyAlignment="1">
      <alignment horizontal="center"/>
    </xf>
  </cellXfs>
  <cellStyles count="1">
    <cellStyle name="Normal" xfId="0" builtinId="0"/>
  </cellStyles>
  <dxfs count="2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00519-51EF-46FB-B7EF-C66D8E78F3B3}">
  <dimension ref="A1:L37"/>
  <sheetViews>
    <sheetView rightToLeft="1" workbookViewId="0">
      <selection sqref="A1:B1"/>
    </sheetView>
  </sheetViews>
  <sheetFormatPr defaultRowHeight="14.5" x14ac:dyDescent="0.35"/>
  <cols>
    <col min="2" max="2" width="10" bestFit="1" customWidth="1"/>
    <col min="3" max="3" width="3.453125" style="265" bestFit="1" customWidth="1"/>
    <col min="4" max="4" width="24.1796875" style="266" bestFit="1" customWidth="1"/>
    <col min="5" max="5" width="26" style="265" hidden="1" customWidth="1"/>
    <col min="6" max="6" width="21.08984375" style="267" bestFit="1" customWidth="1"/>
    <col min="7" max="7" width="11" style="268" bestFit="1" customWidth="1"/>
    <col min="8" max="8" width="11" style="268" customWidth="1"/>
    <col min="9" max="9" width="15.7265625" style="269" bestFit="1" customWidth="1"/>
    <col min="10" max="10" width="21" style="265" bestFit="1" customWidth="1"/>
    <col min="11" max="11" width="18.453125" style="270" bestFit="1" customWidth="1"/>
    <col min="12" max="12" width="8.7265625" style="270"/>
  </cols>
  <sheetData>
    <row r="1" spans="1:12" ht="15" thickBot="1" x14ac:dyDescent="0.4">
      <c r="A1" s="264" t="s">
        <v>167</v>
      </c>
      <c r="B1" s="264"/>
    </row>
    <row r="2" spans="1:12" x14ac:dyDescent="0.35">
      <c r="A2" t="s">
        <v>168</v>
      </c>
      <c r="F2" s="271" t="s">
        <v>169</v>
      </c>
      <c r="H2" s="272" t="s">
        <v>70</v>
      </c>
    </row>
    <row r="3" spans="1:12" ht="15" thickBot="1" x14ac:dyDescent="0.4">
      <c r="F3" s="273">
        <v>0.5</v>
      </c>
      <c r="H3" s="274">
        <v>500</v>
      </c>
    </row>
    <row r="4" spans="1:12" x14ac:dyDescent="0.35">
      <c r="B4" s="275"/>
      <c r="C4" s="276"/>
      <c r="D4" s="277" t="s">
        <v>170</v>
      </c>
      <c r="E4" s="278" t="s">
        <v>171</v>
      </c>
      <c r="F4" s="279" t="s">
        <v>172</v>
      </c>
      <c r="G4" s="280" t="s">
        <v>173</v>
      </c>
      <c r="H4" s="281"/>
      <c r="I4" s="282" t="s">
        <v>174</v>
      </c>
      <c r="J4" s="283" t="s">
        <v>175</v>
      </c>
      <c r="K4" s="284" t="s">
        <v>176</v>
      </c>
      <c r="L4" s="285" t="s">
        <v>177</v>
      </c>
    </row>
    <row r="5" spans="1:12" x14ac:dyDescent="0.35">
      <c r="B5" s="286" t="s">
        <v>178</v>
      </c>
      <c r="C5" s="265" t="s">
        <v>179</v>
      </c>
      <c r="D5" s="287">
        <v>9000</v>
      </c>
      <c r="E5" s="288">
        <f>D5*10000/$F$3</f>
        <v>180000000</v>
      </c>
      <c r="F5" s="289">
        <f>E5/100</f>
        <v>1800000</v>
      </c>
      <c r="G5" s="290" t="s">
        <v>180</v>
      </c>
      <c r="H5" s="291">
        <f t="shared" ref="H5:H21" si="0">J5*$H$3/100</f>
        <v>0.9</v>
      </c>
      <c r="I5" s="292">
        <v>1000000000</v>
      </c>
      <c r="J5" s="293">
        <f>E5/I5</f>
        <v>0.18</v>
      </c>
      <c r="K5" s="294">
        <v>700</v>
      </c>
      <c r="L5" s="295">
        <f t="shared" ref="L5:L21" si="1">J5*K5%</f>
        <v>1.26</v>
      </c>
    </row>
    <row r="6" spans="1:12" ht="15" thickBot="1" x14ac:dyDescent="0.4">
      <c r="B6" s="286" t="s">
        <v>181</v>
      </c>
      <c r="C6" s="265" t="s">
        <v>179</v>
      </c>
      <c r="D6" s="266">
        <v>750</v>
      </c>
      <c r="E6" s="296">
        <f>D6*10000/$F$3</f>
        <v>15000000</v>
      </c>
      <c r="F6" s="289">
        <f t="shared" ref="F6" si="2">E6/100</f>
        <v>150000</v>
      </c>
      <c r="G6" s="290" t="s">
        <v>182</v>
      </c>
      <c r="H6" s="291">
        <f t="shared" si="0"/>
        <v>0.15</v>
      </c>
      <c r="I6" s="292">
        <v>500000000</v>
      </c>
      <c r="J6" s="293">
        <f>E6/I6</f>
        <v>0.03</v>
      </c>
      <c r="K6" s="294">
        <v>700</v>
      </c>
      <c r="L6" s="297">
        <f t="shared" si="1"/>
        <v>0.21</v>
      </c>
    </row>
    <row r="7" spans="1:12" ht="15" thickTop="1" x14ac:dyDescent="0.35">
      <c r="B7" s="286" t="s">
        <v>183</v>
      </c>
      <c r="C7" s="265" t="s">
        <v>184</v>
      </c>
      <c r="D7" s="266">
        <v>50</v>
      </c>
      <c r="E7" s="298">
        <f t="shared" ref="E7:E19" si="3">D7/100/$F$3</f>
        <v>1</v>
      </c>
      <c r="F7" s="289">
        <f>E7*10000</f>
        <v>10000</v>
      </c>
      <c r="G7" s="290" t="s">
        <v>185</v>
      </c>
      <c r="H7" s="291">
        <f t="shared" si="0"/>
        <v>10</v>
      </c>
      <c r="I7" s="269">
        <v>50</v>
      </c>
      <c r="J7" s="293">
        <f t="shared" ref="J7:J19" si="4">E7/I7%</f>
        <v>2</v>
      </c>
      <c r="K7" s="294">
        <v>700</v>
      </c>
      <c r="L7" s="295">
        <f t="shared" si="1"/>
        <v>14</v>
      </c>
    </row>
    <row r="8" spans="1:12" x14ac:dyDescent="0.35">
      <c r="B8" s="286" t="s">
        <v>186</v>
      </c>
      <c r="C8" s="265" t="s">
        <v>184</v>
      </c>
      <c r="D8" s="266">
        <v>1</v>
      </c>
      <c r="E8" s="298">
        <f t="shared" si="3"/>
        <v>0.02</v>
      </c>
      <c r="F8" s="289">
        <f t="shared" ref="F8:F19" si="5">E8*10000</f>
        <v>200</v>
      </c>
      <c r="G8" s="290" t="s">
        <v>187</v>
      </c>
      <c r="H8" s="291">
        <f t="shared" si="0"/>
        <v>0.22779043280182232</v>
      </c>
      <c r="I8" s="269">
        <v>43.9</v>
      </c>
      <c r="J8" s="293">
        <f t="shared" si="4"/>
        <v>4.5558086560364468E-2</v>
      </c>
      <c r="K8" s="294">
        <v>700</v>
      </c>
      <c r="L8" s="297">
        <f t="shared" si="1"/>
        <v>0.31890660592255127</v>
      </c>
    </row>
    <row r="9" spans="1:12" x14ac:dyDescent="0.35">
      <c r="B9" s="286" t="s">
        <v>188</v>
      </c>
      <c r="C9" s="265" t="s">
        <v>184</v>
      </c>
      <c r="D9" s="266">
        <v>7</v>
      </c>
      <c r="E9" s="299">
        <f t="shared" si="3"/>
        <v>0.14000000000000001</v>
      </c>
      <c r="F9" s="289">
        <f t="shared" si="5"/>
        <v>1400.0000000000002</v>
      </c>
      <c r="G9" s="290" t="s">
        <v>189</v>
      </c>
      <c r="H9" s="291">
        <f t="shared" si="0"/>
        <v>0.76086956521739135</v>
      </c>
      <c r="I9" s="269">
        <v>92</v>
      </c>
      <c r="J9" s="293">
        <f t="shared" si="4"/>
        <v>0.15217391304347827</v>
      </c>
      <c r="K9" s="294">
        <v>700</v>
      </c>
      <c r="L9" s="295">
        <f t="shared" si="1"/>
        <v>1.0652173913043479</v>
      </c>
    </row>
    <row r="10" spans="1:12" x14ac:dyDescent="0.35">
      <c r="B10" s="286" t="s">
        <v>190</v>
      </c>
      <c r="C10" s="265" t="s">
        <v>184</v>
      </c>
      <c r="D10" s="266">
        <v>5</v>
      </c>
      <c r="E10" s="300">
        <f t="shared" si="3"/>
        <v>0.1</v>
      </c>
      <c r="F10" s="289">
        <f t="shared" si="5"/>
        <v>1000</v>
      </c>
      <c r="G10" s="290" t="s">
        <v>191</v>
      </c>
      <c r="H10" s="291">
        <f t="shared" si="0"/>
        <v>0.625</v>
      </c>
      <c r="I10" s="269">
        <v>80</v>
      </c>
      <c r="J10" s="293">
        <f t="shared" si="4"/>
        <v>0.125</v>
      </c>
      <c r="K10" s="294">
        <v>700</v>
      </c>
      <c r="L10" s="295">
        <f t="shared" si="1"/>
        <v>0.875</v>
      </c>
    </row>
    <row r="11" spans="1:12" x14ac:dyDescent="0.35">
      <c r="B11" s="286" t="s">
        <v>192</v>
      </c>
      <c r="C11" s="265" t="s">
        <v>184</v>
      </c>
      <c r="D11" s="266">
        <v>60</v>
      </c>
      <c r="E11" s="300">
        <f t="shared" si="3"/>
        <v>1.2</v>
      </c>
      <c r="F11" s="289">
        <f t="shared" si="5"/>
        <v>12000</v>
      </c>
      <c r="G11" s="290" t="s">
        <v>193</v>
      </c>
      <c r="H11" s="291">
        <f t="shared" si="0"/>
        <v>6.0301507537688437</v>
      </c>
      <c r="I11" s="269">
        <v>99.5</v>
      </c>
      <c r="J11" s="293">
        <f t="shared" si="4"/>
        <v>1.2060301507537687</v>
      </c>
      <c r="K11" s="294">
        <v>700</v>
      </c>
      <c r="L11" s="295">
        <f t="shared" si="1"/>
        <v>8.4422110552763812</v>
      </c>
    </row>
    <row r="12" spans="1:12" x14ac:dyDescent="0.35">
      <c r="B12" s="286" t="s">
        <v>194</v>
      </c>
      <c r="C12" s="265" t="s">
        <v>184</v>
      </c>
      <c r="D12" s="266">
        <v>8</v>
      </c>
      <c r="E12" s="300">
        <f t="shared" si="3"/>
        <v>0.16</v>
      </c>
      <c r="F12" s="289">
        <f t="shared" si="5"/>
        <v>1600</v>
      </c>
      <c r="G12" s="290" t="s">
        <v>195</v>
      </c>
      <c r="H12" s="291">
        <f t="shared" si="0"/>
        <v>0.86956521739130432</v>
      </c>
      <c r="I12" s="269">
        <v>92</v>
      </c>
      <c r="J12" s="293">
        <f t="shared" si="4"/>
        <v>0.17391304347826086</v>
      </c>
      <c r="K12" s="294">
        <v>700</v>
      </c>
      <c r="L12" s="295">
        <f t="shared" si="1"/>
        <v>1.2173913043478262</v>
      </c>
    </row>
    <row r="13" spans="1:12" x14ac:dyDescent="0.35">
      <c r="B13" s="286" t="s">
        <v>196</v>
      </c>
      <c r="C13" s="265" t="s">
        <v>184</v>
      </c>
      <c r="D13" s="266">
        <v>4</v>
      </c>
      <c r="E13" s="298">
        <f t="shared" si="3"/>
        <v>0.08</v>
      </c>
      <c r="F13" s="289">
        <f t="shared" si="5"/>
        <v>800</v>
      </c>
      <c r="G13" s="290" t="s">
        <v>197</v>
      </c>
      <c r="H13" s="291">
        <f t="shared" si="0"/>
        <v>0.48780487804878048</v>
      </c>
      <c r="I13" s="269">
        <v>82</v>
      </c>
      <c r="J13" s="293">
        <f t="shared" si="4"/>
        <v>9.7560975609756101E-2</v>
      </c>
      <c r="K13" s="294">
        <v>700</v>
      </c>
      <c r="L13" s="295">
        <f t="shared" si="1"/>
        <v>0.68292682926829273</v>
      </c>
    </row>
    <row r="14" spans="1:12" x14ac:dyDescent="0.35">
      <c r="B14" s="286" t="s">
        <v>198</v>
      </c>
      <c r="C14" s="265" t="s">
        <v>184</v>
      </c>
      <c r="D14" s="266">
        <v>0.1</v>
      </c>
      <c r="E14" s="298">
        <f t="shared" si="3"/>
        <v>2E-3</v>
      </c>
      <c r="F14" s="289">
        <f t="shared" si="5"/>
        <v>20</v>
      </c>
      <c r="G14" s="290" t="s">
        <v>199</v>
      </c>
      <c r="H14" s="291">
        <f t="shared" si="0"/>
        <v>0.5</v>
      </c>
      <c r="I14" s="269">
        <v>2</v>
      </c>
      <c r="J14" s="301">
        <f t="shared" si="4"/>
        <v>0.1</v>
      </c>
      <c r="K14" s="294">
        <v>700</v>
      </c>
      <c r="L14" s="295">
        <f t="shared" si="1"/>
        <v>0.70000000000000007</v>
      </c>
    </row>
    <row r="15" spans="1:12" x14ac:dyDescent="0.35">
      <c r="B15" s="286" t="s">
        <v>200</v>
      </c>
      <c r="C15" s="265" t="s">
        <v>184</v>
      </c>
      <c r="D15" s="266">
        <v>1</v>
      </c>
      <c r="E15" s="298">
        <f t="shared" si="3"/>
        <v>0.02</v>
      </c>
      <c r="F15" s="289">
        <f t="shared" si="5"/>
        <v>200</v>
      </c>
      <c r="G15" s="290" t="s">
        <v>201</v>
      </c>
      <c r="H15" s="291">
        <f t="shared" si="0"/>
        <v>0.12499999999999999</v>
      </c>
      <c r="I15" s="269">
        <v>80</v>
      </c>
      <c r="J15" s="293">
        <f t="shared" si="4"/>
        <v>2.4999999999999998E-2</v>
      </c>
      <c r="K15" s="294">
        <v>700</v>
      </c>
      <c r="L15" s="297">
        <f t="shared" si="1"/>
        <v>0.17499999999999999</v>
      </c>
    </row>
    <row r="16" spans="1:12" x14ac:dyDescent="0.35">
      <c r="B16" s="286" t="s">
        <v>202</v>
      </c>
      <c r="C16" s="265" t="s">
        <v>184</v>
      </c>
      <c r="D16" s="266">
        <v>0.03</v>
      </c>
      <c r="E16" s="298">
        <f t="shared" si="3"/>
        <v>5.9999999999999995E-4</v>
      </c>
      <c r="F16" s="289">
        <f t="shared" si="5"/>
        <v>5.9999999999999991</v>
      </c>
      <c r="G16" s="290" t="s">
        <v>203</v>
      </c>
      <c r="H16" s="291">
        <f t="shared" si="0"/>
        <v>0.3</v>
      </c>
      <c r="I16" s="269">
        <v>1</v>
      </c>
      <c r="J16" s="293">
        <f t="shared" si="4"/>
        <v>5.9999999999999991E-2</v>
      </c>
      <c r="K16" s="294">
        <v>700</v>
      </c>
      <c r="L16" s="297">
        <f t="shared" si="1"/>
        <v>0.41999999999999993</v>
      </c>
    </row>
    <row r="17" spans="2:12" x14ac:dyDescent="0.35">
      <c r="B17" s="286" t="s">
        <v>204</v>
      </c>
      <c r="C17" s="265" t="s">
        <v>184</v>
      </c>
      <c r="D17" s="266">
        <v>100</v>
      </c>
      <c r="E17" s="298">
        <f t="shared" si="3"/>
        <v>2</v>
      </c>
      <c r="F17" s="289">
        <f t="shared" si="5"/>
        <v>20000</v>
      </c>
      <c r="G17" s="290" t="s">
        <v>205</v>
      </c>
      <c r="H17" s="291">
        <f t="shared" si="0"/>
        <v>28.571428571428573</v>
      </c>
      <c r="I17" s="269">
        <v>35</v>
      </c>
      <c r="J17" s="293">
        <f t="shared" si="4"/>
        <v>5.7142857142857144</v>
      </c>
      <c r="K17" s="294">
        <v>700</v>
      </c>
      <c r="L17" s="295">
        <f t="shared" si="1"/>
        <v>40</v>
      </c>
    </row>
    <row r="18" spans="2:12" x14ac:dyDescent="0.35">
      <c r="B18" s="286" t="s">
        <v>206</v>
      </c>
      <c r="C18" s="265" t="s">
        <v>184</v>
      </c>
      <c r="D18" s="266">
        <v>1</v>
      </c>
      <c r="E18" s="298">
        <f t="shared" si="3"/>
        <v>0.02</v>
      </c>
      <c r="F18" s="289">
        <f t="shared" si="5"/>
        <v>200</v>
      </c>
      <c r="G18" s="290" t="s">
        <v>206</v>
      </c>
      <c r="H18" s="291">
        <f t="shared" si="0"/>
        <v>0.1</v>
      </c>
      <c r="I18" s="269">
        <v>100</v>
      </c>
      <c r="J18" s="293">
        <f t="shared" si="4"/>
        <v>0.02</v>
      </c>
      <c r="K18" s="294">
        <v>700</v>
      </c>
      <c r="L18" s="297">
        <f t="shared" si="1"/>
        <v>0.14000000000000001</v>
      </c>
    </row>
    <row r="19" spans="2:12" x14ac:dyDescent="0.35">
      <c r="B19" s="286" t="s">
        <v>207</v>
      </c>
      <c r="C19" s="265" t="s">
        <v>184</v>
      </c>
      <c r="D19" s="266">
        <v>250</v>
      </c>
      <c r="E19" s="298">
        <f t="shared" si="3"/>
        <v>5</v>
      </c>
      <c r="F19" s="289">
        <f t="shared" si="5"/>
        <v>50000</v>
      </c>
      <c r="G19" s="290" t="s">
        <v>208</v>
      </c>
      <c r="H19" s="291">
        <f t="shared" si="0"/>
        <v>55.555555555555557</v>
      </c>
      <c r="I19" s="269">
        <v>45</v>
      </c>
      <c r="J19" s="293">
        <f t="shared" si="4"/>
        <v>11.111111111111111</v>
      </c>
      <c r="K19" s="294">
        <v>700</v>
      </c>
      <c r="L19" s="295">
        <f t="shared" si="1"/>
        <v>77.777777777777771</v>
      </c>
    </row>
    <row r="20" spans="2:12" x14ac:dyDescent="0.35">
      <c r="B20" s="286"/>
      <c r="E20" s="298"/>
      <c r="G20" s="290" t="s">
        <v>15</v>
      </c>
      <c r="H20" s="291">
        <f t="shared" si="0"/>
        <v>200</v>
      </c>
      <c r="J20" s="293">
        <v>40</v>
      </c>
      <c r="K20" s="294">
        <v>350</v>
      </c>
      <c r="L20" s="295">
        <f t="shared" si="1"/>
        <v>140</v>
      </c>
    </row>
    <row r="21" spans="2:12" x14ac:dyDescent="0.35">
      <c r="B21" s="302"/>
      <c r="C21" s="303"/>
      <c r="D21" s="304"/>
      <c r="E21" s="305"/>
      <c r="F21" s="306"/>
      <c r="G21" s="307" t="s">
        <v>23</v>
      </c>
      <c r="H21" s="308">
        <f t="shared" si="0"/>
        <v>194.79683502578774</v>
      </c>
      <c r="I21" s="309"/>
      <c r="J21" s="310">
        <f>100-SUM(J5:J20)</f>
        <v>38.959367005157546</v>
      </c>
      <c r="K21" s="311">
        <v>1200</v>
      </c>
      <c r="L21" s="312">
        <f t="shared" si="1"/>
        <v>467.51240406189055</v>
      </c>
    </row>
    <row r="22" spans="2:12" ht="15" thickBot="1" x14ac:dyDescent="0.4">
      <c r="B22" s="313"/>
      <c r="C22" s="314"/>
      <c r="D22" s="315"/>
      <c r="E22" s="314"/>
      <c r="F22" s="316"/>
      <c r="G22" s="317"/>
      <c r="H22" s="318">
        <f>SUM(H5:H21)</f>
        <v>500.00000000000006</v>
      </c>
      <c r="I22" s="319"/>
      <c r="J22" s="320">
        <f>SUM(J5:J21)</f>
        <v>100</v>
      </c>
      <c r="K22" s="321"/>
      <c r="L22" s="322">
        <f>SUM(L5:L21)</f>
        <v>754.79683502578769</v>
      </c>
    </row>
    <row r="24" spans="2:12" ht="15" thickBot="1" x14ac:dyDescent="0.4"/>
    <row r="25" spans="2:12" x14ac:dyDescent="0.35">
      <c r="C25"/>
      <c r="F25" s="271" t="s">
        <v>169</v>
      </c>
      <c r="H25" s="272" t="s">
        <v>70</v>
      </c>
      <c r="K25" s="294"/>
      <c r="L25" s="294"/>
    </row>
    <row r="26" spans="2:12" ht="15" thickBot="1" x14ac:dyDescent="0.4">
      <c r="C26"/>
      <c r="F26" s="273">
        <v>0.5</v>
      </c>
      <c r="H26" s="274">
        <v>500</v>
      </c>
      <c r="K26" s="294"/>
      <c r="L26" s="294"/>
    </row>
    <row r="27" spans="2:12" x14ac:dyDescent="0.35">
      <c r="B27" s="275"/>
      <c r="C27" s="323"/>
      <c r="D27" s="277" t="s">
        <v>209</v>
      </c>
      <c r="E27" s="283" t="s">
        <v>175</v>
      </c>
      <c r="F27" s="279" t="s">
        <v>210</v>
      </c>
      <c r="G27" s="280" t="s">
        <v>173</v>
      </c>
      <c r="H27" s="281" t="s">
        <v>70</v>
      </c>
      <c r="I27" s="282" t="s">
        <v>211</v>
      </c>
      <c r="J27" s="283" t="s">
        <v>175</v>
      </c>
      <c r="K27" s="324" t="s">
        <v>176</v>
      </c>
      <c r="L27" s="285" t="s">
        <v>177</v>
      </c>
    </row>
    <row r="28" spans="2:12" x14ac:dyDescent="0.35">
      <c r="B28" s="286" t="s">
        <v>212</v>
      </c>
      <c r="C28" t="s">
        <v>184</v>
      </c>
      <c r="D28" s="266">
        <v>130</v>
      </c>
      <c r="E28" s="325">
        <f t="shared" ref="E28:E34" si="6">D28/100/$F$26</f>
        <v>2.6</v>
      </c>
      <c r="F28" s="289">
        <f>E28*10000</f>
        <v>26000</v>
      </c>
      <c r="G28" s="290" t="s">
        <v>213</v>
      </c>
      <c r="H28" s="291">
        <f t="shared" ref="H28:H36" si="7">J28*$H$26/100</f>
        <v>38.235294117647051</v>
      </c>
      <c r="I28" s="269">
        <v>34</v>
      </c>
      <c r="J28" s="325">
        <f t="shared" ref="J28:J34" si="8">E28/I28%</f>
        <v>7.6470588235294112</v>
      </c>
      <c r="K28" s="326">
        <v>1000</v>
      </c>
      <c r="L28" s="295">
        <f>J28*K28%</f>
        <v>76.470588235294116</v>
      </c>
    </row>
    <row r="29" spans="2:12" x14ac:dyDescent="0.35">
      <c r="B29" s="286" t="s">
        <v>214</v>
      </c>
      <c r="C29" t="s">
        <v>184</v>
      </c>
      <c r="D29" s="266">
        <v>10.5</v>
      </c>
      <c r="E29" s="301">
        <f t="shared" si="6"/>
        <v>0.21</v>
      </c>
      <c r="F29" s="289">
        <f t="shared" ref="F29:F34" si="9">E29*10000</f>
        <v>2100</v>
      </c>
      <c r="G29" s="290" t="s">
        <v>215</v>
      </c>
      <c r="H29" s="291">
        <f t="shared" si="7"/>
        <v>3.28125</v>
      </c>
      <c r="I29" s="269">
        <v>32</v>
      </c>
      <c r="J29" s="325">
        <f>E29/I29%</f>
        <v>0.65625</v>
      </c>
      <c r="K29" s="326">
        <v>1000</v>
      </c>
      <c r="L29" s="295">
        <f t="shared" ref="L29:L36" si="10">J29*K29%</f>
        <v>6.5625</v>
      </c>
    </row>
    <row r="30" spans="2:12" x14ac:dyDescent="0.35">
      <c r="B30" s="286" t="s">
        <v>216</v>
      </c>
      <c r="C30" t="s">
        <v>184</v>
      </c>
      <c r="D30" s="266">
        <v>10</v>
      </c>
      <c r="E30" s="301">
        <f t="shared" si="6"/>
        <v>0.2</v>
      </c>
      <c r="F30" s="289">
        <f t="shared" si="9"/>
        <v>2000</v>
      </c>
      <c r="G30" s="290" t="s">
        <v>217</v>
      </c>
      <c r="H30" s="291">
        <f t="shared" si="7"/>
        <v>4.166666666666667</v>
      </c>
      <c r="I30" s="269">
        <v>24</v>
      </c>
      <c r="J30" s="325">
        <f t="shared" si="8"/>
        <v>0.83333333333333337</v>
      </c>
      <c r="K30" s="326">
        <v>1000</v>
      </c>
      <c r="L30" s="295">
        <f t="shared" si="10"/>
        <v>8.3333333333333339</v>
      </c>
    </row>
    <row r="31" spans="2:12" x14ac:dyDescent="0.35">
      <c r="B31" s="286" t="s">
        <v>218</v>
      </c>
      <c r="C31" t="s">
        <v>184</v>
      </c>
      <c r="D31" s="266">
        <v>0</v>
      </c>
      <c r="E31" s="301">
        <f t="shared" si="6"/>
        <v>0</v>
      </c>
      <c r="F31" s="289">
        <f t="shared" si="9"/>
        <v>0</v>
      </c>
      <c r="G31" s="290" t="s">
        <v>219</v>
      </c>
      <c r="H31" s="291">
        <f t="shared" si="7"/>
        <v>0</v>
      </c>
      <c r="I31" s="269">
        <v>28</v>
      </c>
      <c r="J31" s="325">
        <f t="shared" si="8"/>
        <v>0</v>
      </c>
      <c r="K31" s="326">
        <v>1000</v>
      </c>
      <c r="L31" s="295">
        <f t="shared" si="10"/>
        <v>0</v>
      </c>
    </row>
    <row r="32" spans="2:12" x14ac:dyDescent="0.35">
      <c r="B32" s="286" t="s">
        <v>220</v>
      </c>
      <c r="C32" t="s">
        <v>184</v>
      </c>
      <c r="D32" s="266">
        <v>0.25</v>
      </c>
      <c r="E32" s="301">
        <f t="shared" si="6"/>
        <v>5.0000000000000001E-3</v>
      </c>
      <c r="F32" s="289">
        <f t="shared" si="9"/>
        <v>50</v>
      </c>
      <c r="G32" s="290" t="s">
        <v>221</v>
      </c>
      <c r="H32" s="291">
        <f t="shared" si="7"/>
        <v>2.5</v>
      </c>
      <c r="I32" s="269">
        <v>1</v>
      </c>
      <c r="J32" s="325">
        <f t="shared" si="8"/>
        <v>0.5</v>
      </c>
      <c r="K32" s="326">
        <v>1000</v>
      </c>
      <c r="L32" s="295">
        <f t="shared" si="10"/>
        <v>5</v>
      </c>
    </row>
    <row r="33" spans="2:12" x14ac:dyDescent="0.35">
      <c r="B33" s="286" t="s">
        <v>222</v>
      </c>
      <c r="C33" t="s">
        <v>184</v>
      </c>
      <c r="D33" s="266">
        <v>1.5</v>
      </c>
      <c r="E33" s="301">
        <f t="shared" si="6"/>
        <v>0.03</v>
      </c>
      <c r="F33" s="289">
        <f t="shared" si="9"/>
        <v>300</v>
      </c>
      <c r="G33" s="290" t="s">
        <v>223</v>
      </c>
      <c r="H33" s="291">
        <f t="shared" si="7"/>
        <v>0.25</v>
      </c>
      <c r="I33" s="269">
        <v>60</v>
      </c>
      <c r="J33" s="325">
        <f t="shared" si="8"/>
        <v>0.05</v>
      </c>
      <c r="K33" s="326">
        <v>1000</v>
      </c>
      <c r="L33" s="295">
        <f t="shared" si="10"/>
        <v>0.5</v>
      </c>
    </row>
    <row r="34" spans="2:12" x14ac:dyDescent="0.35">
      <c r="B34" s="286" t="s">
        <v>207</v>
      </c>
      <c r="C34" t="s">
        <v>184</v>
      </c>
      <c r="D34" s="266">
        <v>250</v>
      </c>
      <c r="E34" s="301">
        <f t="shared" si="6"/>
        <v>5</v>
      </c>
      <c r="F34" s="289">
        <f t="shared" si="9"/>
        <v>50000</v>
      </c>
      <c r="G34" s="290" t="s">
        <v>208</v>
      </c>
      <c r="H34" s="291">
        <f t="shared" si="7"/>
        <v>55.555555555555557</v>
      </c>
      <c r="I34" s="269">
        <v>45</v>
      </c>
      <c r="J34" s="325">
        <f t="shared" si="8"/>
        <v>11.111111111111111</v>
      </c>
      <c r="K34" s="326">
        <v>700</v>
      </c>
      <c r="L34" s="295">
        <f t="shared" si="10"/>
        <v>77.777777777777771</v>
      </c>
    </row>
    <row r="35" spans="2:12" x14ac:dyDescent="0.35">
      <c r="B35" s="286"/>
      <c r="C35"/>
      <c r="E35" s="301"/>
      <c r="G35" s="290" t="s">
        <v>15</v>
      </c>
      <c r="H35" s="291">
        <f t="shared" si="7"/>
        <v>200</v>
      </c>
      <c r="J35" s="325">
        <v>40</v>
      </c>
      <c r="K35" s="326">
        <v>350</v>
      </c>
      <c r="L35" s="295">
        <f t="shared" si="10"/>
        <v>140</v>
      </c>
    </row>
    <row r="36" spans="2:12" x14ac:dyDescent="0.35">
      <c r="B36" s="302"/>
      <c r="C36" s="327"/>
      <c r="D36" s="304"/>
      <c r="E36" s="328"/>
      <c r="F36" s="303"/>
      <c r="G36" s="307" t="s">
        <v>23</v>
      </c>
      <c r="H36" s="308">
        <f t="shared" si="7"/>
        <v>196.0112336601307</v>
      </c>
      <c r="I36" s="309"/>
      <c r="J36" s="329">
        <f>100-SUM(J28:J35)</f>
        <v>39.20224673202614</v>
      </c>
      <c r="K36" s="330">
        <v>1200</v>
      </c>
      <c r="L36" s="312">
        <f t="shared" si="10"/>
        <v>470.42696078431368</v>
      </c>
    </row>
    <row r="37" spans="2:12" ht="15" thickBot="1" x14ac:dyDescent="0.4">
      <c r="B37" s="313"/>
      <c r="C37" s="331"/>
      <c r="D37" s="315"/>
      <c r="E37" s="332"/>
      <c r="F37" s="314"/>
      <c r="G37" s="317"/>
      <c r="H37" s="333">
        <f>SUM(H28:H36)</f>
        <v>499.99999999999994</v>
      </c>
      <c r="I37" s="319"/>
      <c r="J37" s="320">
        <f>SUM(J28:J36)</f>
        <v>100</v>
      </c>
      <c r="K37" s="334"/>
      <c r="L37" s="322">
        <f>SUM(L28:L36)</f>
        <v>785.07116013071891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549D-56C2-4844-B240-09BA1F2607A3}">
  <dimension ref="A1:L37"/>
  <sheetViews>
    <sheetView rightToLeft="1" workbookViewId="0">
      <selection sqref="A1:B1"/>
    </sheetView>
  </sheetViews>
  <sheetFormatPr defaultRowHeight="14.5" x14ac:dyDescent="0.35"/>
  <cols>
    <col min="2" max="2" width="10" bestFit="1" customWidth="1"/>
    <col min="3" max="3" width="3.453125" style="265" bestFit="1" customWidth="1"/>
    <col min="4" max="4" width="24.1796875" style="266" bestFit="1" customWidth="1"/>
    <col min="5" max="5" width="26" style="265" hidden="1" customWidth="1"/>
    <col min="6" max="6" width="21.08984375" style="267" bestFit="1" customWidth="1"/>
    <col min="7" max="7" width="11" style="268" bestFit="1" customWidth="1"/>
    <col min="8" max="8" width="11" style="268" customWidth="1"/>
    <col min="9" max="9" width="15.7265625" style="269" bestFit="1" customWidth="1"/>
    <col min="10" max="10" width="21" style="265" bestFit="1" customWidth="1"/>
    <col min="11" max="11" width="18.453125" style="270" bestFit="1" customWidth="1"/>
    <col min="12" max="12" width="8.7265625" style="270"/>
  </cols>
  <sheetData>
    <row r="1" spans="1:12" ht="15" thickBot="1" x14ac:dyDescent="0.4">
      <c r="A1" s="264" t="s">
        <v>224</v>
      </c>
      <c r="B1" s="264"/>
    </row>
    <row r="2" spans="1:12" x14ac:dyDescent="0.35">
      <c r="F2" s="271" t="s">
        <v>169</v>
      </c>
      <c r="H2" s="272" t="s">
        <v>70</v>
      </c>
    </row>
    <row r="3" spans="1:12" ht="15" thickBot="1" x14ac:dyDescent="0.4">
      <c r="F3" s="273">
        <v>0.5</v>
      </c>
      <c r="H3" s="274">
        <v>500</v>
      </c>
    </row>
    <row r="4" spans="1:12" x14ac:dyDescent="0.35">
      <c r="B4" s="275"/>
      <c r="C4" s="276"/>
      <c r="D4" s="277" t="s">
        <v>170</v>
      </c>
      <c r="E4" s="278" t="s">
        <v>171</v>
      </c>
      <c r="F4" s="279" t="s">
        <v>172</v>
      </c>
      <c r="G4" s="280" t="s">
        <v>173</v>
      </c>
      <c r="H4" s="281"/>
      <c r="I4" s="282" t="s">
        <v>174</v>
      </c>
      <c r="J4" s="283" t="s">
        <v>175</v>
      </c>
      <c r="K4" s="284" t="s">
        <v>176</v>
      </c>
      <c r="L4" s="285" t="s">
        <v>177</v>
      </c>
    </row>
    <row r="5" spans="1:12" x14ac:dyDescent="0.35">
      <c r="B5" s="286" t="s">
        <v>178</v>
      </c>
      <c r="C5" s="265" t="s">
        <v>179</v>
      </c>
      <c r="D5" s="287">
        <v>7100</v>
      </c>
      <c r="E5" s="288">
        <f>D5*10000/$F$3</f>
        <v>142000000</v>
      </c>
      <c r="F5" s="289">
        <f>E5/100</f>
        <v>1420000</v>
      </c>
      <c r="G5" s="290" t="s">
        <v>180</v>
      </c>
      <c r="H5" s="291">
        <f>J5*$H$3/100</f>
        <v>0.71</v>
      </c>
      <c r="I5" s="292">
        <v>1000000000</v>
      </c>
      <c r="J5" s="293">
        <f>E5/I5</f>
        <v>0.14199999999999999</v>
      </c>
      <c r="K5" s="294">
        <v>700</v>
      </c>
      <c r="L5" s="295">
        <f t="shared" ref="L5:L21" si="0">J5*K5%</f>
        <v>0.99399999999999988</v>
      </c>
    </row>
    <row r="6" spans="1:12" ht="15" thickBot="1" x14ac:dyDescent="0.4">
      <c r="B6" s="286" t="s">
        <v>181</v>
      </c>
      <c r="C6" s="265" t="s">
        <v>179</v>
      </c>
      <c r="D6" s="266">
        <v>640</v>
      </c>
      <c r="E6" s="296">
        <f>D6*10000/$F$3</f>
        <v>12800000</v>
      </c>
      <c r="F6" s="289">
        <f t="shared" ref="F6" si="1">E6/100</f>
        <v>128000</v>
      </c>
      <c r="G6" s="290" t="s">
        <v>182</v>
      </c>
      <c r="H6" s="291">
        <f>J6*$H$3/100</f>
        <v>0.128</v>
      </c>
      <c r="I6" s="292">
        <v>500000000</v>
      </c>
      <c r="J6" s="293">
        <f>E6/I6</f>
        <v>2.5600000000000001E-2</v>
      </c>
      <c r="K6" s="294">
        <v>700</v>
      </c>
      <c r="L6" s="297">
        <f t="shared" si="0"/>
        <v>0.1792</v>
      </c>
    </row>
    <row r="7" spans="1:12" ht="15" thickTop="1" x14ac:dyDescent="0.35">
      <c r="B7" s="286" t="s">
        <v>183</v>
      </c>
      <c r="C7" s="265" t="s">
        <v>184</v>
      </c>
      <c r="D7" s="266">
        <v>50</v>
      </c>
      <c r="E7" s="298">
        <f t="shared" ref="E7:E19" si="2">D7/100/$F$3</f>
        <v>1</v>
      </c>
      <c r="F7" s="289">
        <f>E7*10000</f>
        <v>10000</v>
      </c>
      <c r="G7" s="290" t="s">
        <v>185</v>
      </c>
      <c r="H7" s="291">
        <f t="shared" ref="H7:H23" si="3">J7*$H$3/100</f>
        <v>10</v>
      </c>
      <c r="I7" s="269">
        <v>50</v>
      </c>
      <c r="J7" s="293">
        <f>E7/I7%</f>
        <v>2</v>
      </c>
      <c r="K7" s="294">
        <v>700</v>
      </c>
      <c r="L7" s="295">
        <f t="shared" si="0"/>
        <v>14</v>
      </c>
    </row>
    <row r="8" spans="1:12" x14ac:dyDescent="0.35">
      <c r="B8" s="286" t="s">
        <v>186</v>
      </c>
      <c r="C8" s="265" t="s">
        <v>184</v>
      </c>
      <c r="D8" s="266">
        <v>1.7</v>
      </c>
      <c r="E8" s="298">
        <f t="shared" si="2"/>
        <v>3.4000000000000002E-2</v>
      </c>
      <c r="F8" s="289">
        <f t="shared" ref="F8:F19" si="4">E8*10000</f>
        <v>340</v>
      </c>
      <c r="G8" s="290" t="s">
        <v>187</v>
      </c>
      <c r="H8" s="291">
        <f t="shared" si="3"/>
        <v>0.38724373576309795</v>
      </c>
      <c r="I8" s="269">
        <v>43.9</v>
      </c>
      <c r="J8" s="293">
        <f>E8/I8%</f>
        <v>7.7448747152619596E-2</v>
      </c>
      <c r="K8" s="294">
        <v>700</v>
      </c>
      <c r="L8" s="295">
        <f t="shared" si="0"/>
        <v>0.54214123006833714</v>
      </c>
    </row>
    <row r="9" spans="1:12" x14ac:dyDescent="0.35">
      <c r="B9" s="286" t="s">
        <v>188</v>
      </c>
      <c r="C9" s="265" t="s">
        <v>184</v>
      </c>
      <c r="D9" s="266">
        <v>3</v>
      </c>
      <c r="E9" s="299">
        <f t="shared" si="2"/>
        <v>0.06</v>
      </c>
      <c r="F9" s="289">
        <f t="shared" si="4"/>
        <v>600</v>
      </c>
      <c r="G9" s="290" t="s">
        <v>189</v>
      </c>
      <c r="H9" s="291">
        <f t="shared" si="3"/>
        <v>0.32608695652173914</v>
      </c>
      <c r="I9" s="269">
        <v>92</v>
      </c>
      <c r="J9" s="293">
        <f>E9/I9%</f>
        <v>6.5217391304347824E-2</v>
      </c>
      <c r="K9" s="294">
        <v>700</v>
      </c>
      <c r="L9" s="297">
        <f t="shared" si="0"/>
        <v>0.45652173913043476</v>
      </c>
    </row>
    <row r="10" spans="1:12" x14ac:dyDescent="0.35">
      <c r="B10" s="286" t="s">
        <v>190</v>
      </c>
      <c r="C10" s="265" t="s">
        <v>184</v>
      </c>
      <c r="D10" s="266">
        <v>7</v>
      </c>
      <c r="E10" s="300">
        <f t="shared" si="2"/>
        <v>0.14000000000000001</v>
      </c>
      <c r="F10" s="289">
        <f t="shared" si="4"/>
        <v>1400.0000000000002</v>
      </c>
      <c r="G10" s="290" t="s">
        <v>191</v>
      </c>
      <c r="H10" s="291">
        <f t="shared" si="3"/>
        <v>0.87500000000000011</v>
      </c>
      <c r="I10" s="269">
        <v>80</v>
      </c>
      <c r="J10" s="293">
        <f t="shared" ref="J10:J22" si="5">E10/I10%</f>
        <v>0.17500000000000002</v>
      </c>
      <c r="K10" s="294">
        <v>700</v>
      </c>
      <c r="L10" s="295">
        <f t="shared" si="0"/>
        <v>1.2250000000000001</v>
      </c>
    </row>
    <row r="11" spans="1:12" x14ac:dyDescent="0.35">
      <c r="B11" s="286" t="s">
        <v>192</v>
      </c>
      <c r="C11" s="265" t="s">
        <v>184</v>
      </c>
      <c r="D11" s="266">
        <v>20</v>
      </c>
      <c r="E11" s="300">
        <f t="shared" si="2"/>
        <v>0.4</v>
      </c>
      <c r="F11" s="289">
        <f t="shared" si="4"/>
        <v>4000</v>
      </c>
      <c r="G11" s="290" t="s">
        <v>193</v>
      </c>
      <c r="H11" s="291">
        <f t="shared" si="3"/>
        <v>2.0100502512562817</v>
      </c>
      <c r="I11" s="269">
        <v>99.5</v>
      </c>
      <c r="J11" s="293">
        <f t="shared" si="5"/>
        <v>0.4020100502512563</v>
      </c>
      <c r="K11" s="294">
        <v>700</v>
      </c>
      <c r="L11" s="295">
        <f t="shared" si="0"/>
        <v>2.8140703517587942</v>
      </c>
    </row>
    <row r="12" spans="1:12" x14ac:dyDescent="0.35">
      <c r="B12" s="286" t="s">
        <v>194</v>
      </c>
      <c r="C12" s="265" t="s">
        <v>184</v>
      </c>
      <c r="D12" s="266">
        <v>17</v>
      </c>
      <c r="E12" s="300">
        <f t="shared" si="2"/>
        <v>0.34</v>
      </c>
      <c r="F12" s="289">
        <f t="shared" si="4"/>
        <v>3400.0000000000005</v>
      </c>
      <c r="G12" s="290" t="s">
        <v>195</v>
      </c>
      <c r="H12" s="291">
        <f t="shared" si="3"/>
        <v>1.847826086956522</v>
      </c>
      <c r="I12" s="269">
        <v>92</v>
      </c>
      <c r="J12" s="293">
        <f t="shared" si="5"/>
        <v>0.36956521739130438</v>
      </c>
      <c r="K12" s="294">
        <v>700</v>
      </c>
      <c r="L12" s="295">
        <f t="shared" si="0"/>
        <v>2.5869565217391308</v>
      </c>
    </row>
    <row r="13" spans="1:12" x14ac:dyDescent="0.35">
      <c r="B13" s="286" t="s">
        <v>196</v>
      </c>
      <c r="C13" s="265" t="s">
        <v>184</v>
      </c>
      <c r="D13" s="266">
        <v>2</v>
      </c>
      <c r="E13" s="298">
        <f t="shared" si="2"/>
        <v>0.04</v>
      </c>
      <c r="F13" s="289">
        <f t="shared" si="4"/>
        <v>400</v>
      </c>
      <c r="G13" s="290" t="s">
        <v>197</v>
      </c>
      <c r="H13" s="291">
        <f t="shared" si="3"/>
        <v>0.24390243902439024</v>
      </c>
      <c r="I13" s="269">
        <v>82</v>
      </c>
      <c r="J13" s="293">
        <f t="shared" si="5"/>
        <v>4.878048780487805E-2</v>
      </c>
      <c r="K13" s="294">
        <v>700</v>
      </c>
      <c r="L13" s="297">
        <f t="shared" si="0"/>
        <v>0.34146341463414637</v>
      </c>
    </row>
    <row r="14" spans="1:12" x14ac:dyDescent="0.35">
      <c r="B14" s="286" t="s">
        <v>198</v>
      </c>
      <c r="C14" s="265" t="s">
        <v>184</v>
      </c>
      <c r="D14" s="266">
        <v>0.3</v>
      </c>
      <c r="E14" s="298">
        <f t="shared" si="2"/>
        <v>6.0000000000000001E-3</v>
      </c>
      <c r="F14" s="289">
        <f t="shared" si="4"/>
        <v>60</v>
      </c>
      <c r="G14" s="290" t="s">
        <v>199</v>
      </c>
      <c r="H14" s="291">
        <f t="shared" si="3"/>
        <v>1.5</v>
      </c>
      <c r="I14" s="269">
        <v>2</v>
      </c>
      <c r="J14" s="301">
        <f t="shared" si="5"/>
        <v>0.3</v>
      </c>
      <c r="K14" s="294">
        <v>700</v>
      </c>
      <c r="L14" s="295">
        <f t="shared" si="0"/>
        <v>2.1</v>
      </c>
    </row>
    <row r="15" spans="1:12" x14ac:dyDescent="0.35">
      <c r="B15" s="286" t="s">
        <v>200</v>
      </c>
      <c r="C15" s="265" t="s">
        <v>184</v>
      </c>
      <c r="D15" s="266">
        <v>0.3</v>
      </c>
      <c r="E15" s="298">
        <f t="shared" si="2"/>
        <v>6.0000000000000001E-3</v>
      </c>
      <c r="F15" s="289">
        <f t="shared" si="4"/>
        <v>60</v>
      </c>
      <c r="G15" s="290" t="s">
        <v>201</v>
      </c>
      <c r="H15" s="291">
        <f t="shared" si="3"/>
        <v>3.7499999999999999E-2</v>
      </c>
      <c r="I15" s="269">
        <v>80</v>
      </c>
      <c r="J15" s="293">
        <f t="shared" si="5"/>
        <v>7.4999999999999997E-3</v>
      </c>
      <c r="K15" s="294">
        <v>700</v>
      </c>
      <c r="L15" s="297">
        <f t="shared" si="0"/>
        <v>5.2499999999999998E-2</v>
      </c>
    </row>
    <row r="16" spans="1:12" x14ac:dyDescent="0.35">
      <c r="B16" s="286" t="s">
        <v>202</v>
      </c>
      <c r="C16" s="265" t="s">
        <v>184</v>
      </c>
      <c r="D16" s="266">
        <v>0.04</v>
      </c>
      <c r="E16" s="298">
        <f t="shared" si="2"/>
        <v>8.0000000000000004E-4</v>
      </c>
      <c r="F16" s="335">
        <f t="shared" si="4"/>
        <v>8</v>
      </c>
      <c r="G16" s="290" t="s">
        <v>203</v>
      </c>
      <c r="H16" s="291">
        <f t="shared" si="3"/>
        <v>0.4</v>
      </c>
      <c r="I16" s="269">
        <v>1</v>
      </c>
      <c r="J16" s="293">
        <f t="shared" si="5"/>
        <v>0.08</v>
      </c>
      <c r="K16" s="294">
        <v>700</v>
      </c>
      <c r="L16" s="295">
        <f t="shared" si="0"/>
        <v>0.56000000000000005</v>
      </c>
    </row>
    <row r="17" spans="2:12" x14ac:dyDescent="0.35">
      <c r="B17" s="286" t="s">
        <v>204</v>
      </c>
      <c r="C17" s="265" t="s">
        <v>184</v>
      </c>
      <c r="D17" s="266">
        <v>100</v>
      </c>
      <c r="E17" s="298">
        <f>D17/100/$F$3</f>
        <v>2</v>
      </c>
      <c r="F17" s="289">
        <f>E17*10000</f>
        <v>20000</v>
      </c>
      <c r="G17" s="290" t="s">
        <v>205</v>
      </c>
      <c r="H17" s="291">
        <f>J17*$H$3/100</f>
        <v>28.571428571428573</v>
      </c>
      <c r="I17" s="269">
        <v>35</v>
      </c>
      <c r="J17" s="293">
        <f t="shared" si="5"/>
        <v>5.7142857142857144</v>
      </c>
      <c r="K17" s="294">
        <v>700</v>
      </c>
      <c r="L17" s="295">
        <f t="shared" si="0"/>
        <v>40</v>
      </c>
    </row>
    <row r="18" spans="2:12" x14ac:dyDescent="0.35">
      <c r="B18" s="286" t="s">
        <v>206</v>
      </c>
      <c r="C18" s="265" t="s">
        <v>184</v>
      </c>
      <c r="D18" s="266">
        <v>1</v>
      </c>
      <c r="E18" s="298">
        <f t="shared" si="2"/>
        <v>0.02</v>
      </c>
      <c r="F18" s="289">
        <f t="shared" si="4"/>
        <v>200</v>
      </c>
      <c r="G18" s="290" t="s">
        <v>206</v>
      </c>
      <c r="H18" s="291">
        <f t="shared" si="3"/>
        <v>0.1</v>
      </c>
      <c r="I18" s="269">
        <v>100</v>
      </c>
      <c r="J18" s="293">
        <f t="shared" si="5"/>
        <v>0.02</v>
      </c>
      <c r="K18" s="294">
        <v>700</v>
      </c>
      <c r="L18" s="297">
        <f t="shared" si="0"/>
        <v>0.14000000000000001</v>
      </c>
    </row>
    <row r="19" spans="2:12" x14ac:dyDescent="0.35">
      <c r="B19" s="286" t="s">
        <v>207</v>
      </c>
      <c r="C19" s="265" t="s">
        <v>184</v>
      </c>
      <c r="D19" s="266">
        <v>250</v>
      </c>
      <c r="E19" s="298">
        <f t="shared" si="2"/>
        <v>5</v>
      </c>
      <c r="F19" s="289">
        <f t="shared" si="4"/>
        <v>50000</v>
      </c>
      <c r="G19" s="290" t="s">
        <v>208</v>
      </c>
      <c r="H19" s="291">
        <f t="shared" si="3"/>
        <v>55.555555555555557</v>
      </c>
      <c r="I19" s="269">
        <v>45</v>
      </c>
      <c r="J19" s="293">
        <f t="shared" si="5"/>
        <v>11.111111111111111</v>
      </c>
      <c r="K19" s="294">
        <v>700</v>
      </c>
      <c r="L19" s="295">
        <f t="shared" si="0"/>
        <v>77.777777777777771</v>
      </c>
    </row>
    <row r="20" spans="2:12" x14ac:dyDescent="0.35">
      <c r="B20" s="286"/>
      <c r="E20" s="298"/>
      <c r="G20" s="290" t="s">
        <v>15</v>
      </c>
      <c r="H20" s="291">
        <f t="shared" si="3"/>
        <v>200</v>
      </c>
      <c r="J20" s="293">
        <v>40</v>
      </c>
      <c r="K20" s="294">
        <v>350</v>
      </c>
      <c r="L20" s="295">
        <f t="shared" si="0"/>
        <v>140</v>
      </c>
    </row>
    <row r="21" spans="2:12" x14ac:dyDescent="0.35">
      <c r="B21" s="302"/>
      <c r="C21" s="303"/>
      <c r="D21" s="304"/>
      <c r="E21" s="305"/>
      <c r="F21" s="306"/>
      <c r="G21" s="307" t="s">
        <v>23</v>
      </c>
      <c r="H21" s="308">
        <f t="shared" si="3"/>
        <v>197.30740640349384</v>
      </c>
      <c r="I21" s="309"/>
      <c r="J21" s="310">
        <f>100-SUM(J5:J20)</f>
        <v>39.46148128069877</v>
      </c>
      <c r="K21" s="311">
        <v>1200</v>
      </c>
      <c r="L21" s="312">
        <f t="shared" si="0"/>
        <v>473.53777536838527</v>
      </c>
    </row>
    <row r="22" spans="2:12" ht="15" thickBot="1" x14ac:dyDescent="0.4">
      <c r="B22" s="313"/>
      <c r="C22" s="314"/>
      <c r="D22" s="315"/>
      <c r="E22" s="314"/>
      <c r="F22" s="316"/>
      <c r="G22" s="317"/>
      <c r="H22" s="318">
        <f>SUM(H5:H21)</f>
        <v>500</v>
      </c>
      <c r="I22" s="319"/>
      <c r="J22" s="320">
        <f>SUM(J5:J21)</f>
        <v>100</v>
      </c>
      <c r="K22" s="321"/>
      <c r="L22" s="322">
        <f>SUM(L5:L21)</f>
        <v>757.30740640349381</v>
      </c>
    </row>
    <row r="24" spans="2:12" ht="15" thickBot="1" x14ac:dyDescent="0.4"/>
    <row r="25" spans="2:12" x14ac:dyDescent="0.35">
      <c r="C25"/>
      <c r="F25" s="271" t="s">
        <v>169</v>
      </c>
      <c r="H25" s="272" t="s">
        <v>70</v>
      </c>
      <c r="K25" s="294"/>
      <c r="L25" s="294"/>
    </row>
    <row r="26" spans="2:12" ht="15" thickBot="1" x14ac:dyDescent="0.4">
      <c r="C26"/>
      <c r="F26" s="273">
        <v>0.5</v>
      </c>
      <c r="H26" s="274">
        <v>500</v>
      </c>
      <c r="K26" s="294"/>
      <c r="L26" s="294"/>
    </row>
    <row r="27" spans="2:12" x14ac:dyDescent="0.35">
      <c r="B27" s="275"/>
      <c r="C27" s="323"/>
      <c r="D27" s="277" t="s">
        <v>209</v>
      </c>
      <c r="E27" s="283" t="s">
        <v>175</v>
      </c>
      <c r="F27" s="279" t="s">
        <v>210</v>
      </c>
      <c r="G27" s="280" t="s">
        <v>173</v>
      </c>
      <c r="H27" s="281" t="s">
        <v>70</v>
      </c>
      <c r="I27" s="282" t="s">
        <v>211</v>
      </c>
      <c r="J27" s="283" t="s">
        <v>175</v>
      </c>
      <c r="K27" s="324" t="s">
        <v>176</v>
      </c>
      <c r="L27" s="285" t="s">
        <v>177</v>
      </c>
    </row>
    <row r="28" spans="2:12" x14ac:dyDescent="0.35">
      <c r="B28" s="286" t="s">
        <v>212</v>
      </c>
      <c r="C28" t="s">
        <v>184</v>
      </c>
      <c r="D28" s="266">
        <v>130</v>
      </c>
      <c r="E28" s="325">
        <f t="shared" ref="E28:E34" si="6">D28/100/$F$26</f>
        <v>2.6</v>
      </c>
      <c r="F28" s="289">
        <f>E28*10000</f>
        <v>26000</v>
      </c>
      <c r="G28" s="290" t="s">
        <v>213</v>
      </c>
      <c r="H28" s="291">
        <f t="shared" ref="H28:H36" si="7">J28*$H$26/100</f>
        <v>38.235294117647051</v>
      </c>
      <c r="I28" s="269">
        <v>34</v>
      </c>
      <c r="J28" s="325">
        <f t="shared" ref="J28:J34" si="8">E28/I28%</f>
        <v>7.6470588235294112</v>
      </c>
      <c r="K28" s="326">
        <v>1000</v>
      </c>
      <c r="L28" s="295">
        <f>J28*K28%</f>
        <v>76.470588235294116</v>
      </c>
    </row>
    <row r="29" spans="2:12" x14ac:dyDescent="0.35">
      <c r="B29" s="286" t="s">
        <v>214</v>
      </c>
      <c r="C29" t="s">
        <v>184</v>
      </c>
      <c r="D29" s="266">
        <v>10.5</v>
      </c>
      <c r="E29" s="301">
        <f t="shared" si="6"/>
        <v>0.21</v>
      </c>
      <c r="F29" s="289">
        <f t="shared" ref="F29:F34" si="9">E29*10000</f>
        <v>2100</v>
      </c>
      <c r="G29" s="290" t="s">
        <v>215</v>
      </c>
      <c r="H29" s="291">
        <f t="shared" si="7"/>
        <v>3.28125</v>
      </c>
      <c r="I29" s="269">
        <v>32</v>
      </c>
      <c r="J29" s="325">
        <f>E29/I29%</f>
        <v>0.65625</v>
      </c>
      <c r="K29" s="326">
        <v>1000</v>
      </c>
      <c r="L29" s="295">
        <f t="shared" ref="L29:L36" si="10">J29*K29%</f>
        <v>6.5625</v>
      </c>
    </row>
    <row r="30" spans="2:12" x14ac:dyDescent="0.35">
      <c r="B30" s="286" t="s">
        <v>216</v>
      </c>
      <c r="C30" t="s">
        <v>184</v>
      </c>
      <c r="D30" s="266">
        <v>10</v>
      </c>
      <c r="E30" s="301">
        <f t="shared" si="6"/>
        <v>0.2</v>
      </c>
      <c r="F30" s="289">
        <f t="shared" si="9"/>
        <v>2000</v>
      </c>
      <c r="G30" s="290" t="s">
        <v>217</v>
      </c>
      <c r="H30" s="291">
        <f t="shared" si="7"/>
        <v>4.166666666666667</v>
      </c>
      <c r="I30" s="269">
        <v>24</v>
      </c>
      <c r="J30" s="325">
        <f t="shared" si="8"/>
        <v>0.83333333333333337</v>
      </c>
      <c r="K30" s="326">
        <v>1000</v>
      </c>
      <c r="L30" s="295">
        <f t="shared" si="10"/>
        <v>8.3333333333333339</v>
      </c>
    </row>
    <row r="31" spans="2:12" x14ac:dyDescent="0.35">
      <c r="B31" s="286" t="s">
        <v>218</v>
      </c>
      <c r="C31" t="s">
        <v>184</v>
      </c>
      <c r="D31" s="266">
        <v>0</v>
      </c>
      <c r="E31" s="301">
        <f t="shared" si="6"/>
        <v>0</v>
      </c>
      <c r="F31" s="289">
        <f t="shared" si="9"/>
        <v>0</v>
      </c>
      <c r="G31" s="290" t="s">
        <v>219</v>
      </c>
      <c r="H31" s="291">
        <f t="shared" si="7"/>
        <v>0</v>
      </c>
      <c r="I31" s="269">
        <v>28</v>
      </c>
      <c r="J31" s="325">
        <f t="shared" si="8"/>
        <v>0</v>
      </c>
      <c r="K31" s="326">
        <v>1000</v>
      </c>
      <c r="L31" s="295">
        <f t="shared" si="10"/>
        <v>0</v>
      </c>
    </row>
    <row r="32" spans="2:12" x14ac:dyDescent="0.35">
      <c r="B32" s="286" t="s">
        <v>220</v>
      </c>
      <c r="C32" t="s">
        <v>184</v>
      </c>
      <c r="D32" s="266">
        <v>0.25</v>
      </c>
      <c r="E32" s="301">
        <f t="shared" si="6"/>
        <v>5.0000000000000001E-3</v>
      </c>
      <c r="F32" s="289">
        <f t="shared" si="9"/>
        <v>50</v>
      </c>
      <c r="G32" s="290" t="s">
        <v>221</v>
      </c>
      <c r="H32" s="291">
        <f t="shared" si="7"/>
        <v>2.5</v>
      </c>
      <c r="I32" s="269">
        <v>1</v>
      </c>
      <c r="J32" s="325">
        <f t="shared" si="8"/>
        <v>0.5</v>
      </c>
      <c r="K32" s="326">
        <v>1000</v>
      </c>
      <c r="L32" s="295">
        <f t="shared" si="10"/>
        <v>5</v>
      </c>
    </row>
    <row r="33" spans="2:12" x14ac:dyDescent="0.35">
      <c r="B33" s="286" t="s">
        <v>222</v>
      </c>
      <c r="C33" t="s">
        <v>184</v>
      </c>
      <c r="D33" s="266">
        <v>1.5</v>
      </c>
      <c r="E33" s="301">
        <f t="shared" si="6"/>
        <v>0.03</v>
      </c>
      <c r="F33" s="289">
        <f t="shared" si="9"/>
        <v>300</v>
      </c>
      <c r="G33" s="290" t="s">
        <v>223</v>
      </c>
      <c r="H33" s="291">
        <f t="shared" si="7"/>
        <v>0.25</v>
      </c>
      <c r="I33" s="269">
        <v>60</v>
      </c>
      <c r="J33" s="325">
        <f t="shared" si="8"/>
        <v>0.05</v>
      </c>
      <c r="K33" s="326">
        <v>1000</v>
      </c>
      <c r="L33" s="295">
        <f t="shared" si="10"/>
        <v>0.5</v>
      </c>
    </row>
    <row r="34" spans="2:12" x14ac:dyDescent="0.35">
      <c r="B34" s="286" t="s">
        <v>207</v>
      </c>
      <c r="C34" t="s">
        <v>184</v>
      </c>
      <c r="D34" s="266">
        <v>250</v>
      </c>
      <c r="E34" s="301">
        <f t="shared" si="6"/>
        <v>5</v>
      </c>
      <c r="F34" s="289">
        <f t="shared" si="9"/>
        <v>50000</v>
      </c>
      <c r="G34" s="290" t="s">
        <v>208</v>
      </c>
      <c r="H34" s="291">
        <f t="shared" si="7"/>
        <v>55.555555555555557</v>
      </c>
      <c r="I34" s="269">
        <v>45</v>
      </c>
      <c r="J34" s="325">
        <f t="shared" si="8"/>
        <v>11.111111111111111</v>
      </c>
      <c r="K34" s="326">
        <v>700</v>
      </c>
      <c r="L34" s="295">
        <f t="shared" si="10"/>
        <v>77.777777777777771</v>
      </c>
    </row>
    <row r="35" spans="2:12" x14ac:dyDescent="0.35">
      <c r="B35" s="286"/>
      <c r="C35"/>
      <c r="E35" s="301"/>
      <c r="G35" s="290" t="s">
        <v>15</v>
      </c>
      <c r="H35" s="291">
        <f t="shared" si="7"/>
        <v>200</v>
      </c>
      <c r="J35" s="325">
        <v>40</v>
      </c>
      <c r="K35" s="326">
        <v>350</v>
      </c>
      <c r="L35" s="295">
        <f t="shared" si="10"/>
        <v>140</v>
      </c>
    </row>
    <row r="36" spans="2:12" x14ac:dyDescent="0.35">
      <c r="B36" s="302"/>
      <c r="C36" s="327"/>
      <c r="D36" s="304"/>
      <c r="E36" s="328"/>
      <c r="F36" s="303"/>
      <c r="G36" s="307" t="s">
        <v>23</v>
      </c>
      <c r="H36" s="308">
        <f t="shared" si="7"/>
        <v>196.0112336601307</v>
      </c>
      <c r="I36" s="309"/>
      <c r="J36" s="329">
        <f>100-SUM(J28:J35)</f>
        <v>39.20224673202614</v>
      </c>
      <c r="K36" s="330">
        <v>1200</v>
      </c>
      <c r="L36" s="312">
        <f t="shared" si="10"/>
        <v>470.42696078431368</v>
      </c>
    </row>
    <row r="37" spans="2:12" ht="15" thickBot="1" x14ac:dyDescent="0.4">
      <c r="B37" s="313"/>
      <c r="C37" s="331"/>
      <c r="D37" s="315"/>
      <c r="E37" s="332"/>
      <c r="F37" s="314"/>
      <c r="G37" s="317"/>
      <c r="H37" s="333">
        <f>SUM(H28:H36)</f>
        <v>499.99999999999994</v>
      </c>
      <c r="I37" s="319"/>
      <c r="J37" s="320">
        <f>SUM(J28:J36)</f>
        <v>100</v>
      </c>
      <c r="K37" s="334"/>
      <c r="L37" s="322">
        <f>SUM(L28:L36)</f>
        <v>785.07116013071891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05EF2-12D2-433A-9186-0EC4FD5673B8}">
  <dimension ref="A1:DQ82"/>
  <sheetViews>
    <sheetView rightToLeft="1" tabSelected="1" zoomScale="80" zoomScaleNormal="80" workbookViewId="0">
      <selection activeCell="A2" sqref="A2"/>
    </sheetView>
  </sheetViews>
  <sheetFormatPr defaultRowHeight="15" x14ac:dyDescent="0.35"/>
  <cols>
    <col min="1" max="1" width="8.453125" style="30" customWidth="1"/>
    <col min="2" max="2" width="12.08984375" style="30" bestFit="1" customWidth="1"/>
    <col min="3" max="3" width="11.54296875" style="30" customWidth="1"/>
    <col min="4" max="4" width="20.90625" style="31" bestFit="1" customWidth="1"/>
    <col min="5" max="5" width="12.6328125" style="31" hidden="1" customWidth="1"/>
    <col min="6" max="6" width="9.7265625" style="30" bestFit="1" customWidth="1"/>
    <col min="7" max="7" width="2" style="30" customWidth="1"/>
    <col min="8" max="8" width="6.7265625" style="215" bestFit="1" customWidth="1"/>
    <col min="9" max="9" width="6.90625" style="37" bestFit="1" customWidth="1"/>
    <col min="10" max="10" width="4.81640625" style="103" hidden="1" customWidth="1"/>
    <col min="11" max="11" width="5.7265625" style="103" hidden="1" customWidth="1"/>
    <col min="12" max="12" width="7.36328125" style="30" customWidth="1"/>
    <col min="13" max="13" width="21.08984375" style="30" customWidth="1"/>
    <col min="14" max="14" width="9.7265625" style="30" customWidth="1"/>
    <col min="15" max="15" width="6.7265625" style="112" customWidth="1"/>
    <col min="16" max="16" width="6.90625" style="112" customWidth="1"/>
    <col min="17" max="17" width="6.08984375" style="103" hidden="1" customWidth="1"/>
    <col min="18" max="18" width="6.7265625" style="103" hidden="1" customWidth="1"/>
    <col min="19" max="19" width="1.6328125" style="30" customWidth="1"/>
    <col min="20" max="20" width="11.08984375" style="30" customWidth="1"/>
    <col min="21" max="21" width="6.81640625" style="30" customWidth="1"/>
    <col min="22" max="22" width="4.26953125" style="30" customWidth="1"/>
    <col min="23" max="23" width="6.7265625" style="30" bestFit="1" customWidth="1"/>
    <col min="24" max="24" width="2.90625" style="30" customWidth="1"/>
    <col min="25" max="25" width="7" style="30" bestFit="1" customWidth="1"/>
    <col min="26" max="26" width="4.36328125" style="30" customWidth="1"/>
    <col min="27" max="27" width="10.453125" style="30" customWidth="1"/>
    <col min="28" max="28" width="21.54296875" style="31" bestFit="1" customWidth="1"/>
    <col min="29" max="29" width="10.81640625" style="30" bestFit="1" customWidth="1"/>
    <col min="30" max="30" width="5.54296875" style="30" customWidth="1"/>
    <col min="31" max="31" width="6.08984375" style="30" bestFit="1" customWidth="1"/>
    <col min="32" max="32" width="5" style="30" customWidth="1"/>
    <col min="33" max="33" width="15.36328125" style="30" bestFit="1" customWidth="1"/>
    <col min="34" max="34" width="5" style="30" customWidth="1"/>
    <col min="35" max="35" width="13.6328125" style="30" bestFit="1" customWidth="1"/>
    <col min="36" max="36" width="5" style="30" customWidth="1"/>
    <col min="37" max="37" width="9.26953125" style="30" bestFit="1" customWidth="1"/>
    <col min="38" max="38" width="6.54296875" style="30" customWidth="1"/>
    <col min="39" max="39" width="14.08984375" style="30" bestFit="1" customWidth="1"/>
    <col min="40" max="40" width="5" style="30" customWidth="1"/>
    <col min="41" max="41" width="7" style="30" customWidth="1"/>
    <col min="42" max="42" width="5" style="30" customWidth="1"/>
    <col min="43" max="43" width="6.7265625" style="30" bestFit="1" customWidth="1"/>
    <col min="44" max="44" width="5" style="30" bestFit="1" customWidth="1"/>
    <col min="45" max="45" width="7" style="30" bestFit="1" customWidth="1"/>
    <col min="46" max="46" width="5" style="30" bestFit="1" customWidth="1"/>
    <col min="47" max="47" width="11.7265625" style="30" bestFit="1" customWidth="1"/>
    <col min="48" max="48" width="9" style="30" bestFit="1" customWidth="1"/>
    <col min="49" max="49" width="6.81640625" style="30" bestFit="1" customWidth="1"/>
    <col min="50" max="50" width="6.81640625" style="30" customWidth="1"/>
    <col min="51" max="51" width="6.81640625" style="30" bestFit="1" customWidth="1"/>
    <col min="52" max="52" width="6.81640625" style="30" customWidth="1"/>
    <col min="53" max="53" width="6.81640625" style="30" bestFit="1" customWidth="1"/>
    <col min="54" max="54" width="6.81640625" style="30" customWidth="1"/>
    <col min="55" max="55" width="6.36328125" style="30" bestFit="1" customWidth="1"/>
    <col min="56" max="56" width="5" style="30" bestFit="1" customWidth="1"/>
    <col min="57" max="57" width="6.90625" style="30" bestFit="1" customWidth="1"/>
    <col min="58" max="58" width="5" style="30" bestFit="1" customWidth="1"/>
    <col min="59" max="59" width="6.453125" style="30" bestFit="1" customWidth="1"/>
    <col min="60" max="60" width="5" style="30" bestFit="1" customWidth="1"/>
    <col min="61" max="61" width="6.453125" style="30" bestFit="1" customWidth="1"/>
    <col min="62" max="62" width="5" style="30" bestFit="1" customWidth="1"/>
    <col min="63" max="63" width="7" style="30" bestFit="1" customWidth="1"/>
    <col min="64" max="64" width="5" style="30" bestFit="1" customWidth="1"/>
    <col min="65" max="65" width="6.7265625" style="30" bestFit="1" customWidth="1"/>
    <col min="66" max="66" width="11.453125" style="30" bestFit="1" customWidth="1"/>
    <col min="67" max="67" width="8.7265625" style="30" bestFit="1" customWidth="1"/>
    <col min="68" max="68" width="13.1796875" style="30" customWidth="1"/>
    <col min="69" max="69" width="12.7265625" style="30" customWidth="1"/>
    <col min="70" max="70" width="17.26953125" style="30" customWidth="1"/>
    <col min="71" max="71" width="6.36328125" style="30" bestFit="1" customWidth="1"/>
    <col min="72" max="72" width="6.08984375" style="30" customWidth="1"/>
    <col min="73" max="73" width="9.1796875" style="30" bestFit="1" customWidth="1"/>
    <col min="74" max="74" width="6.453125" style="30" bestFit="1" customWidth="1"/>
    <col min="75" max="75" width="8.7265625" style="30" bestFit="1"/>
    <col min="76" max="76" width="6.7265625" style="30" customWidth="1"/>
    <col min="77" max="77" width="8.7265625" style="30" customWidth="1"/>
    <col min="78" max="78" width="5" style="30" bestFit="1" customWidth="1"/>
    <col min="79" max="79" width="6.08984375" style="30" bestFit="1" customWidth="1"/>
    <col min="80" max="80" width="5" style="30" customWidth="1"/>
    <col min="81" max="81" width="6.08984375" style="30" bestFit="1" customWidth="1"/>
    <col min="82" max="82" width="5" style="30" customWidth="1"/>
    <col min="83" max="83" width="6.08984375" style="30" bestFit="1" customWidth="1"/>
    <col min="84" max="84" width="5" style="30" customWidth="1"/>
    <col min="85" max="85" width="8.7265625" style="30" customWidth="1"/>
    <col min="86" max="86" width="5" style="30" bestFit="1" customWidth="1"/>
    <col min="87" max="87" width="13.81640625" style="30" bestFit="1" customWidth="1"/>
    <col min="88" max="88" width="6.08984375" style="30" customWidth="1"/>
    <col min="89" max="89" width="12.36328125" style="30" bestFit="1" customWidth="1"/>
    <col min="90" max="90" width="7.6328125" style="30" customWidth="1"/>
    <col min="91" max="91" width="14.90625" style="30" bestFit="1" customWidth="1"/>
    <col min="92" max="92" width="8.08984375" style="30" customWidth="1"/>
    <col min="93" max="93" width="7.453125" style="30" customWidth="1"/>
    <col min="94" max="94" width="5" style="30" customWidth="1"/>
    <col min="95" max="95" width="7.36328125" style="30" bestFit="1" customWidth="1"/>
    <col min="96" max="96" width="5" style="30" customWidth="1"/>
    <col min="97" max="97" width="8.7265625" style="30" customWidth="1"/>
    <col min="98" max="98" width="6.08984375" style="30" bestFit="1" customWidth="1"/>
    <col min="99" max="99" width="8.7265625" style="30" customWidth="1"/>
    <col min="100" max="100" width="6.08984375" style="30" bestFit="1" customWidth="1"/>
    <col min="101" max="101" width="10.08984375" style="30" bestFit="1" customWidth="1"/>
    <col min="102" max="102" width="7.54296875" style="30" bestFit="1" customWidth="1"/>
    <col min="103" max="103" width="17" style="30" customWidth="1"/>
    <col min="104" max="104" width="5" style="30" customWidth="1"/>
    <col min="105" max="105" width="19.08984375" style="132" bestFit="1" customWidth="1"/>
    <col min="106" max="106" width="5.54296875" style="30" customWidth="1"/>
    <col min="107" max="107" width="13.1796875" style="30" customWidth="1"/>
    <col min="108" max="108" width="6.08984375" style="30" bestFit="1" customWidth="1"/>
    <col min="109" max="116" width="8.7265625" style="30" customWidth="1"/>
    <col min="117" max="16384" width="8.7265625" style="30"/>
  </cols>
  <sheetData>
    <row r="1" spans="1:121" ht="20.5" customHeight="1" thickBot="1" x14ac:dyDescent="0.4">
      <c r="A1" s="53"/>
      <c r="B1" s="53"/>
      <c r="C1" s="53"/>
      <c r="D1" s="64"/>
      <c r="E1" s="64"/>
      <c r="F1" s="53"/>
      <c r="G1" s="53"/>
      <c r="H1" s="211"/>
      <c r="I1" s="65"/>
      <c r="J1" s="91"/>
      <c r="K1" s="91"/>
      <c r="L1" s="53"/>
      <c r="M1" s="53"/>
      <c r="N1" s="53"/>
      <c r="O1" s="108"/>
      <c r="P1" s="108"/>
      <c r="Q1" s="91"/>
      <c r="R1" s="91"/>
      <c r="S1" s="53"/>
      <c r="T1" s="53"/>
      <c r="U1" s="53"/>
      <c r="V1" s="53"/>
      <c r="W1" s="53"/>
      <c r="X1" s="53"/>
      <c r="Y1" s="53"/>
      <c r="Z1" s="53"/>
      <c r="AA1" s="53"/>
      <c r="AB1" s="64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67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</row>
    <row r="2" spans="1:121" ht="19" customHeight="1" thickBot="1" x14ac:dyDescent="0.4">
      <c r="A2" s="53"/>
      <c r="B2" s="81" t="s">
        <v>46</v>
      </c>
      <c r="C2" s="82">
        <f>SUM(C8:C38)</f>
        <v>13721.182107694165</v>
      </c>
      <c r="D2" s="83"/>
      <c r="E2" s="83"/>
      <c r="F2" s="84"/>
      <c r="G2" s="84"/>
      <c r="H2" s="211"/>
      <c r="I2" s="85"/>
      <c r="J2" s="92"/>
      <c r="K2" s="92"/>
      <c r="L2" s="53"/>
      <c r="M2" s="53"/>
      <c r="N2" s="53"/>
      <c r="O2" s="108"/>
      <c r="P2" s="108"/>
      <c r="Q2" s="91"/>
      <c r="R2" s="91"/>
      <c r="S2" s="53"/>
      <c r="T2" s="53"/>
      <c r="U2" s="53"/>
      <c r="V2" s="53"/>
      <c r="W2" s="53"/>
      <c r="X2" s="53"/>
      <c r="Y2" s="53"/>
      <c r="Z2" s="53"/>
      <c r="AA2" s="53"/>
      <c r="AB2" s="66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155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53"/>
      <c r="DN2" s="53"/>
      <c r="DO2" s="53"/>
      <c r="DP2" s="53"/>
      <c r="DQ2" s="53"/>
    </row>
    <row r="3" spans="1:121" ht="15.5" customHeight="1" x14ac:dyDescent="0.35">
      <c r="A3" s="53"/>
      <c r="B3" s="242" t="s">
        <v>42</v>
      </c>
      <c r="C3" s="244" t="s">
        <v>87</v>
      </c>
      <c r="D3" s="246" t="s">
        <v>58</v>
      </c>
      <c r="E3" s="26" t="s">
        <v>70</v>
      </c>
      <c r="F3" s="246" t="s">
        <v>60</v>
      </c>
      <c r="G3" s="246"/>
      <c r="H3" s="248" t="s">
        <v>47</v>
      </c>
      <c r="I3" s="249"/>
      <c r="J3" s="93"/>
      <c r="K3" s="94"/>
      <c r="L3" s="68"/>
      <c r="M3" s="250" t="s">
        <v>59</v>
      </c>
      <c r="N3" s="246"/>
      <c r="O3" s="252" t="s">
        <v>57</v>
      </c>
      <c r="P3" s="252"/>
      <c r="Q3" s="104"/>
      <c r="R3" s="104"/>
      <c r="S3" s="253"/>
      <c r="T3" s="255" t="s">
        <v>44</v>
      </c>
      <c r="U3" s="53"/>
      <c r="V3" s="259" t="s">
        <v>163</v>
      </c>
      <c r="W3" s="260"/>
      <c r="X3" s="260"/>
      <c r="Y3" s="260"/>
      <c r="Z3" s="261"/>
      <c r="AA3" s="53"/>
      <c r="AB3" s="257"/>
      <c r="AC3" s="236" t="s">
        <v>35</v>
      </c>
      <c r="AD3" s="262" t="s">
        <v>49</v>
      </c>
      <c r="AE3" s="236" t="s">
        <v>36</v>
      </c>
      <c r="AF3" s="147"/>
      <c r="AG3" s="236" t="s">
        <v>93</v>
      </c>
      <c r="AH3" s="147"/>
      <c r="AI3" s="236" t="s">
        <v>139</v>
      </c>
      <c r="AJ3" s="147"/>
      <c r="AK3" s="236" t="s">
        <v>29</v>
      </c>
      <c r="AL3" s="147"/>
      <c r="AM3" s="236" t="s">
        <v>94</v>
      </c>
      <c r="AN3" s="147"/>
      <c r="AO3" s="236" t="s">
        <v>28</v>
      </c>
      <c r="AP3" s="147"/>
      <c r="AQ3" s="238" t="s">
        <v>140</v>
      </c>
      <c r="AR3" s="148"/>
      <c r="AS3" s="238" t="s">
        <v>141</v>
      </c>
      <c r="AT3" s="148"/>
      <c r="AU3" s="238" t="s">
        <v>142</v>
      </c>
      <c r="AV3" s="148"/>
      <c r="AW3" s="238" t="s">
        <v>143</v>
      </c>
      <c r="AX3" s="148"/>
      <c r="AY3" s="238" t="s">
        <v>144</v>
      </c>
      <c r="AZ3" s="148"/>
      <c r="BA3" s="238" t="s">
        <v>145</v>
      </c>
      <c r="BB3" s="148"/>
      <c r="BC3" s="238" t="s">
        <v>146</v>
      </c>
      <c r="BD3" s="148"/>
      <c r="BE3" s="238" t="s">
        <v>147</v>
      </c>
      <c r="BF3" s="148"/>
      <c r="BG3" s="238" t="s">
        <v>148</v>
      </c>
      <c r="BH3" s="148"/>
      <c r="BI3" s="238" t="s">
        <v>149</v>
      </c>
      <c r="BJ3" s="148"/>
      <c r="BK3" s="238" t="s">
        <v>151</v>
      </c>
      <c r="BL3" s="148"/>
      <c r="BM3" s="238" t="s">
        <v>153</v>
      </c>
      <c r="BN3" s="238" t="s">
        <v>154</v>
      </c>
      <c r="BO3" s="148"/>
      <c r="BP3" s="238" t="s">
        <v>106</v>
      </c>
      <c r="BQ3" s="238" t="s">
        <v>107</v>
      </c>
      <c r="BR3" s="238" t="s">
        <v>32</v>
      </c>
      <c r="BS3" s="236" t="s">
        <v>39</v>
      </c>
      <c r="BT3" s="147"/>
      <c r="BU3" s="236" t="s">
        <v>37</v>
      </c>
      <c r="BV3" s="149"/>
      <c r="BW3" s="236" t="s">
        <v>38</v>
      </c>
      <c r="BX3" s="147"/>
      <c r="BY3" s="240" t="s">
        <v>104</v>
      </c>
      <c r="BZ3" s="150"/>
      <c r="CA3" s="236" t="s">
        <v>40</v>
      </c>
      <c r="CB3" s="147"/>
      <c r="CC3" s="236" t="s">
        <v>45</v>
      </c>
      <c r="CD3" s="147"/>
      <c r="CE3" s="236" t="s">
        <v>41</v>
      </c>
      <c r="CF3" s="147"/>
      <c r="CG3" s="236" t="s">
        <v>105</v>
      </c>
      <c r="CH3" s="156"/>
      <c r="CI3" s="236" t="s">
        <v>1</v>
      </c>
      <c r="CJ3" s="147"/>
      <c r="CK3" s="236" t="s">
        <v>2</v>
      </c>
      <c r="CL3" s="147"/>
      <c r="CM3" s="236" t="s">
        <v>25</v>
      </c>
      <c r="CN3" s="147"/>
      <c r="CO3" s="236" t="s">
        <v>26</v>
      </c>
      <c r="CP3" s="147"/>
      <c r="CQ3" s="236" t="s">
        <v>27</v>
      </c>
      <c r="CR3" s="147"/>
      <c r="CS3" s="236" t="s">
        <v>30</v>
      </c>
      <c r="CT3" s="149"/>
      <c r="CU3" s="236" t="s">
        <v>31</v>
      </c>
      <c r="CV3" s="149"/>
      <c r="CW3" s="236" t="s">
        <v>164</v>
      </c>
      <c r="CX3" s="195"/>
      <c r="CY3" s="236" t="s">
        <v>33</v>
      </c>
      <c r="CZ3" s="147"/>
      <c r="DA3" s="236" t="s">
        <v>95</v>
      </c>
      <c r="DB3" s="147"/>
      <c r="DC3" s="236" t="s">
        <v>0</v>
      </c>
      <c r="DD3" s="149"/>
      <c r="DE3" s="153"/>
      <c r="DF3" s="147"/>
      <c r="DG3" s="147"/>
      <c r="DH3" s="147"/>
      <c r="DI3" s="147"/>
      <c r="DJ3" s="147"/>
      <c r="DK3" s="147"/>
      <c r="DL3" s="151"/>
      <c r="DM3" s="53"/>
      <c r="DN3" s="53"/>
      <c r="DO3" s="53"/>
      <c r="DP3" s="53"/>
      <c r="DQ3" s="53"/>
    </row>
    <row r="4" spans="1:121" s="32" customFormat="1" x14ac:dyDescent="0.35">
      <c r="A4" s="34"/>
      <c r="B4" s="243"/>
      <c r="C4" s="245"/>
      <c r="D4" s="247"/>
      <c r="E4" s="24">
        <v>1000</v>
      </c>
      <c r="F4" s="247"/>
      <c r="G4" s="247"/>
      <c r="H4" s="40" t="s">
        <v>89</v>
      </c>
      <c r="I4" s="41" t="s">
        <v>90</v>
      </c>
      <c r="J4" s="95" t="s">
        <v>91</v>
      </c>
      <c r="K4" s="96" t="s">
        <v>92</v>
      </c>
      <c r="L4" s="68"/>
      <c r="M4" s="251"/>
      <c r="N4" s="247"/>
      <c r="O4" s="25" t="s">
        <v>89</v>
      </c>
      <c r="P4" s="25" t="s">
        <v>90</v>
      </c>
      <c r="Q4" s="105" t="s">
        <v>91</v>
      </c>
      <c r="R4" s="105" t="s">
        <v>92</v>
      </c>
      <c r="S4" s="254"/>
      <c r="T4" s="256"/>
      <c r="U4" s="34"/>
      <c r="V4" s="3"/>
      <c r="W4" s="4" t="s">
        <v>89</v>
      </c>
      <c r="X4" s="21"/>
      <c r="Y4" s="22" t="s">
        <v>90</v>
      </c>
      <c r="Z4" s="5"/>
      <c r="AA4" s="34"/>
      <c r="AB4" s="258"/>
      <c r="AC4" s="237"/>
      <c r="AD4" s="263"/>
      <c r="AE4" s="237"/>
      <c r="AF4" s="124" t="s">
        <v>48</v>
      </c>
      <c r="AG4" s="237"/>
      <c r="AH4" s="124" t="s">
        <v>67</v>
      </c>
      <c r="AI4" s="237"/>
      <c r="AJ4" s="157" t="s">
        <v>67</v>
      </c>
      <c r="AK4" s="237"/>
      <c r="AL4" s="124" t="s">
        <v>120</v>
      </c>
      <c r="AM4" s="237"/>
      <c r="AN4" s="124" t="s">
        <v>68</v>
      </c>
      <c r="AO4" s="237"/>
      <c r="AP4" s="124" t="s">
        <v>69</v>
      </c>
      <c r="AQ4" s="239"/>
      <c r="AR4" s="76" t="s">
        <v>108</v>
      </c>
      <c r="AS4" s="239"/>
      <c r="AT4" s="76" t="s">
        <v>124</v>
      </c>
      <c r="AU4" s="239"/>
      <c r="AV4" s="76" t="s">
        <v>131</v>
      </c>
      <c r="AW4" s="239"/>
      <c r="AX4" s="76" t="s">
        <v>109</v>
      </c>
      <c r="AY4" s="239"/>
      <c r="AZ4" s="76" t="s">
        <v>110</v>
      </c>
      <c r="BA4" s="239"/>
      <c r="BB4" s="76" t="s">
        <v>111</v>
      </c>
      <c r="BC4" s="239"/>
      <c r="BD4" s="76" t="s">
        <v>112</v>
      </c>
      <c r="BE4" s="239"/>
      <c r="BF4" s="76" t="s">
        <v>125</v>
      </c>
      <c r="BG4" s="239"/>
      <c r="BH4" s="76" t="s">
        <v>113</v>
      </c>
      <c r="BI4" s="239"/>
      <c r="BJ4" s="76" t="s">
        <v>150</v>
      </c>
      <c r="BK4" s="239"/>
      <c r="BL4" s="76" t="s">
        <v>152</v>
      </c>
      <c r="BM4" s="239"/>
      <c r="BN4" s="239"/>
      <c r="BO4" s="76" t="s">
        <v>155</v>
      </c>
      <c r="BP4" s="239"/>
      <c r="BQ4" s="239"/>
      <c r="BR4" s="239"/>
      <c r="BS4" s="237"/>
      <c r="BT4" s="124" t="s">
        <v>114</v>
      </c>
      <c r="BU4" s="237"/>
      <c r="BV4" s="124" t="s">
        <v>132</v>
      </c>
      <c r="BW4" s="237"/>
      <c r="BX4" s="124" t="s">
        <v>115</v>
      </c>
      <c r="BY4" s="241"/>
      <c r="BZ4" s="80" t="s">
        <v>126</v>
      </c>
      <c r="CA4" s="237"/>
      <c r="CB4" s="124" t="s">
        <v>63</v>
      </c>
      <c r="CC4" s="237"/>
      <c r="CD4" s="124" t="s">
        <v>64</v>
      </c>
      <c r="CE4" s="237"/>
      <c r="CF4" s="124" t="s">
        <v>65</v>
      </c>
      <c r="CG4" s="237"/>
      <c r="CH4" s="157" t="s">
        <v>127</v>
      </c>
      <c r="CI4" s="237"/>
      <c r="CJ4" s="124" t="s">
        <v>62</v>
      </c>
      <c r="CK4" s="237"/>
      <c r="CL4" s="124" t="s">
        <v>66</v>
      </c>
      <c r="CM4" s="237"/>
      <c r="CN4" s="124" t="s">
        <v>119</v>
      </c>
      <c r="CO4" s="237"/>
      <c r="CP4" s="124" t="s">
        <v>52</v>
      </c>
      <c r="CQ4" s="237"/>
      <c r="CR4" s="124" t="s">
        <v>53</v>
      </c>
      <c r="CS4" s="237"/>
      <c r="CT4" s="124" t="s">
        <v>128</v>
      </c>
      <c r="CU4" s="237"/>
      <c r="CV4" s="124" t="s">
        <v>129</v>
      </c>
      <c r="CW4" s="237"/>
      <c r="CX4" s="196" t="s">
        <v>165</v>
      </c>
      <c r="CY4" s="237"/>
      <c r="CZ4" s="124" t="s">
        <v>118</v>
      </c>
      <c r="DA4" s="237"/>
      <c r="DB4" s="124" t="s">
        <v>116</v>
      </c>
      <c r="DC4" s="237"/>
      <c r="DD4" s="124" t="s">
        <v>130</v>
      </c>
      <c r="DE4" s="154" t="s">
        <v>3</v>
      </c>
      <c r="DF4" s="123" t="s">
        <v>4</v>
      </c>
      <c r="DG4" s="123" t="s">
        <v>5</v>
      </c>
      <c r="DH4" s="123" t="s">
        <v>6</v>
      </c>
      <c r="DI4" s="123" t="s">
        <v>7</v>
      </c>
      <c r="DJ4" s="123" t="s">
        <v>8</v>
      </c>
      <c r="DK4" s="123" t="s">
        <v>9</v>
      </c>
      <c r="DL4" s="152" t="s">
        <v>10</v>
      </c>
      <c r="DM4" s="34"/>
      <c r="DN4" s="34"/>
      <c r="DO4" s="34"/>
      <c r="DP4" s="34"/>
      <c r="DQ4" s="34"/>
    </row>
    <row r="5" spans="1:121" s="32" customFormat="1" x14ac:dyDescent="0.35">
      <c r="A5" s="34"/>
      <c r="B5" s="59">
        <v>17000</v>
      </c>
      <c r="C5" s="58">
        <f>F5*B5%</f>
        <v>4973.1393015394333</v>
      </c>
      <c r="D5" s="114" t="s">
        <v>88</v>
      </c>
      <c r="E5" s="119">
        <f>F5*$E$4/$F$39</f>
        <v>292.53760597290494</v>
      </c>
      <c r="F5" s="119">
        <v>29.253760597290782</v>
      </c>
      <c r="G5" s="35"/>
      <c r="H5" s="212"/>
      <c r="I5" s="39"/>
      <c r="J5" s="97">
        <f>IF((H5)="",0,(H5))</f>
        <v>0</v>
      </c>
      <c r="K5" s="98">
        <f>IF((I5)="",100,(I5))</f>
        <v>100</v>
      </c>
      <c r="L5" s="34"/>
      <c r="M5" s="60" t="s">
        <v>71</v>
      </c>
      <c r="N5" s="61" t="s">
        <v>54</v>
      </c>
      <c r="O5" s="70"/>
      <c r="P5" s="70"/>
      <c r="Q5" s="107">
        <f>IF((O5)="",0,(O5))</f>
        <v>0</v>
      </c>
      <c r="R5" s="97">
        <f>IF((P5)="",10000,(P5))</f>
        <v>10000</v>
      </c>
      <c r="S5" s="35"/>
      <c r="T5" s="62">
        <f>SUM(AD5:AD38)</f>
        <v>3358.9343962395842</v>
      </c>
      <c r="U5" s="34"/>
      <c r="V5" s="6"/>
      <c r="W5" s="70">
        <v>3000</v>
      </c>
      <c r="X5" s="19"/>
      <c r="Y5" s="70">
        <v>4000</v>
      </c>
      <c r="Z5" s="7"/>
      <c r="AA5" s="34"/>
      <c r="AB5" s="176" t="s">
        <v>88</v>
      </c>
      <c r="AC5" s="43">
        <v>3242</v>
      </c>
      <c r="AD5" s="42">
        <f t="shared" ref="AD5:AD38" si="0">F5*AC5%</f>
        <v>948.4069185641672</v>
      </c>
      <c r="AE5" s="45">
        <v>53.741999999999997</v>
      </c>
      <c r="AF5" s="44">
        <f t="shared" ref="AF5:AF38" si="1">F5*AE5%</f>
        <v>15.721556020196012</v>
      </c>
      <c r="AG5" s="47">
        <v>19.995999999999999</v>
      </c>
      <c r="AH5" s="46">
        <f t="shared" ref="AH5:AH17" si="2">F5*AG5%</f>
        <v>5.849581969034265</v>
      </c>
      <c r="AI5" s="47">
        <v>19.995999999999999</v>
      </c>
      <c r="AJ5" s="46">
        <f t="shared" ref="AJ5:AJ17" si="3">F5*AI5%</f>
        <v>5.849581969034265</v>
      </c>
      <c r="AK5" s="47"/>
      <c r="AL5" s="46">
        <f t="shared" ref="AL5:AL17" si="4">F5*AK5%</f>
        <v>0</v>
      </c>
      <c r="AM5" s="47"/>
      <c r="AN5" s="46">
        <f t="shared" ref="AN5:AN38" si="5">F5*AM5%</f>
        <v>0</v>
      </c>
      <c r="AO5" s="47">
        <v>6.7560000000000002</v>
      </c>
      <c r="AP5" s="46">
        <f t="shared" ref="AP5:AP38" si="6">F5*AO5%</f>
        <v>1.9763840659529655</v>
      </c>
      <c r="AQ5" s="47">
        <f>AE5*0.097-2.314</f>
        <v>2.8989739999999999</v>
      </c>
      <c r="AR5" s="46">
        <f t="shared" ref="AR5:AR21" si="7">F5*AQ5%</f>
        <v>0.84805891373770448</v>
      </c>
      <c r="AS5" s="47">
        <f>AE5*0.034-0.891</f>
        <v>0.93622800000000006</v>
      </c>
      <c r="AT5" s="46">
        <f t="shared" ref="AT5:AT21" si="8">F5*AS5%</f>
        <v>0.27388189776480354</v>
      </c>
      <c r="AU5" s="47">
        <f>AE5*0.0397-0.4523</f>
        <v>1.6812574</v>
      </c>
      <c r="AV5" s="46">
        <f t="shared" ref="AV5:AV21" si="9">F5*AU5%</f>
        <v>0.4918310148202355</v>
      </c>
      <c r="AW5" s="47">
        <f>AE5*0.054-0.932</f>
        <v>1.9700679999999999</v>
      </c>
      <c r="AX5" s="46">
        <f t="shared" ref="AX5:AX21" si="10">F5*AW5%</f>
        <v>0.57631897632383455</v>
      </c>
      <c r="AY5" s="47">
        <f>AE5*0.022-0.715</f>
        <v>0.46732399999999996</v>
      </c>
      <c r="AZ5" s="46">
        <f t="shared" ref="AZ5:AZ21" si="11">F5*AY5%</f>
        <v>0.13670984417368315</v>
      </c>
      <c r="BA5" s="47">
        <f>AE5*0.069-0.17</f>
        <v>3.5381980000000004</v>
      </c>
      <c r="BB5" s="46">
        <f t="shared" ref="BB5:BB24" si="12">F5*BA5%</f>
        <v>1.0350559723781307</v>
      </c>
      <c r="BC5" s="47">
        <f>AE5*0.061-1.336</f>
        <v>1.9422619999999997</v>
      </c>
      <c r="BD5" s="46">
        <f t="shared" ref="BD5:BD24" si="13">F5*BC5%</f>
        <v>0.5681846756521518</v>
      </c>
      <c r="BE5" s="47">
        <f>AE5*0.102-1.926</f>
        <v>3.5556839999999994</v>
      </c>
      <c r="BF5" s="46">
        <f t="shared" ref="BF5:BF24" si="14">F5*BE5%</f>
        <v>1.0401712849561726</v>
      </c>
      <c r="BG5" s="47">
        <f>AE5*0.065-1.059</f>
        <v>2.4342300000000003</v>
      </c>
      <c r="BH5" s="46">
        <f t="shared" ref="BH5:BH24" si="15">F5*BG5%</f>
        <v>0.71210381658743149</v>
      </c>
      <c r="BI5" s="47">
        <f>AE5*0.020752</f>
        <v>1.115253984</v>
      </c>
      <c r="BJ5" s="46">
        <f t="shared" ref="BJ5:BJ15" si="16">F5*BI5%</f>
        <v>0.32625373053110762</v>
      </c>
      <c r="BK5" s="47">
        <f>AE5*0.052-0.791</f>
        <v>2.0035839999999996</v>
      </c>
      <c r="BL5" s="46">
        <f t="shared" ref="BL5:BL15" si="17">F5*BK5%</f>
        <v>0.58612366672562244</v>
      </c>
      <c r="BM5" s="47">
        <f>AE5*0.029027</f>
        <v>1.5599690339999999</v>
      </c>
      <c r="BN5" s="47">
        <f t="shared" ref="BN5:BN7" si="18">BK5+BM5</f>
        <v>3.5635530339999995</v>
      </c>
      <c r="BO5" s="46">
        <f t="shared" ref="BO5:BO15" si="19">F5*BN5%</f>
        <v>1.042473273323852</v>
      </c>
      <c r="BP5" s="47">
        <f>AE5*0.093043</f>
        <v>5.0003169060000001</v>
      </c>
      <c r="BQ5" s="48">
        <f>AE5*0.042694</f>
        <v>2.2944609480000002</v>
      </c>
      <c r="BR5" s="48">
        <f t="shared" ref="BR5:BR7" si="20">BP5+BQ5</f>
        <v>7.2947778540000003</v>
      </c>
      <c r="BS5" s="47">
        <v>3.98</v>
      </c>
      <c r="BT5" s="46">
        <f t="shared" ref="BT5:BT38" si="21">F5*BS5%</f>
        <v>1.1642996717721732</v>
      </c>
      <c r="BU5" s="47">
        <v>1.35</v>
      </c>
      <c r="BV5" s="46">
        <f t="shared" ref="BV5:BV38" si="22">F5*BU5%</f>
        <v>0.39492576806342561</v>
      </c>
      <c r="BW5" s="47">
        <f>BU5*0.9</f>
        <v>1.2150000000000001</v>
      </c>
      <c r="BX5" s="46">
        <f t="shared" ref="BX5:BX38" si="23">F5*BW5%</f>
        <v>0.35543319125708306</v>
      </c>
      <c r="BY5" s="47">
        <v>0.14000000000000001</v>
      </c>
      <c r="BZ5" s="46">
        <f t="shared" ref="BZ5:BZ38" si="24">F5*BY5%</f>
        <v>4.0955264836207102E-2</v>
      </c>
      <c r="CA5" s="47">
        <v>0.48</v>
      </c>
      <c r="CB5" s="46">
        <f t="shared" ref="CB5:CB38" si="25">F5*CA5%</f>
        <v>0.14041805086699574</v>
      </c>
      <c r="CC5" s="47">
        <v>0.52</v>
      </c>
      <c r="CD5" s="46">
        <f t="shared" ref="CD5:CD38" si="26">F5*CC5%</f>
        <v>0.15211955510591205</v>
      </c>
      <c r="CE5" s="47">
        <v>0.48</v>
      </c>
      <c r="CF5" s="46">
        <f t="shared" ref="CF5:CF38" si="27">F5*CE5%</f>
        <v>0.14041805086699574</v>
      </c>
      <c r="CG5" s="47">
        <v>0.51</v>
      </c>
      <c r="CH5" s="46">
        <f t="shared" ref="CH5:CH38" si="28">F5*CG5%</f>
        <v>0.14919417904618301</v>
      </c>
      <c r="CI5" s="43">
        <f t="shared" ref="CI5:CI7" si="29">(CA5*435)+(CC5*256)-(CE5*282)</f>
        <v>206.55999999999997</v>
      </c>
      <c r="CJ5" s="42">
        <f t="shared" ref="CJ5:CJ38" si="30">F5*CI5%</f>
        <v>60.426567889763838</v>
      </c>
      <c r="CK5" s="47">
        <v>6.0289999999999999</v>
      </c>
      <c r="CL5" s="46">
        <f t="shared" ref="CL5:CL38" si="31">F5*CK5%</f>
        <v>1.7637092264106611</v>
      </c>
      <c r="CM5" s="47">
        <f>AG5*0.0131</f>
        <v>0.2619476</v>
      </c>
      <c r="CN5" s="46">
        <f t="shared" ref="CN5:CN38" si="32">F5*CM5%</f>
        <v>7.6629523794348869E-2</v>
      </c>
      <c r="CO5" s="47"/>
      <c r="CP5" s="46">
        <f t="shared" ref="CP5:CP38" si="33">F5*CO5%</f>
        <v>0</v>
      </c>
      <c r="CQ5" s="47"/>
      <c r="CR5" s="46">
        <f t="shared" ref="CR5:CR38" si="34">F5*CQ5%</f>
        <v>0</v>
      </c>
      <c r="CS5" s="47"/>
      <c r="CT5" s="46">
        <f t="shared" ref="CT5:CT38" si="35">F5*CS5%</f>
        <v>0</v>
      </c>
      <c r="CU5" s="47">
        <f t="shared" ref="CU5:CU15" si="36">DC5-(AE5+AG5+AM5+AO5)</f>
        <v>11.817999999999998</v>
      </c>
      <c r="CV5" s="46">
        <f t="shared" ref="CV5:CV38" si="37">F5*CU5%</f>
        <v>3.457209427387824</v>
      </c>
      <c r="CW5" s="47">
        <v>0.1</v>
      </c>
      <c r="CX5" s="46">
        <f>F5*CW5%</f>
        <v>2.9253760597290783E-2</v>
      </c>
      <c r="CY5" s="28">
        <v>0.56999999999999995</v>
      </c>
      <c r="CZ5" s="46">
        <f t="shared" ref="CZ5:CZ38" si="38">F5*CY5%</f>
        <v>0.16674643540455744</v>
      </c>
      <c r="DA5" s="28">
        <v>3</v>
      </c>
      <c r="DB5" s="35">
        <f t="shared" ref="DB5:DB38" si="39">F5*DA5%</f>
        <v>0.87761281791872348</v>
      </c>
      <c r="DC5" s="47">
        <v>92.311999999999998</v>
      </c>
      <c r="DD5" s="46">
        <f t="shared" ref="DD5:DD38" si="40">F5*DC5%</f>
        <v>27.004731482571064</v>
      </c>
      <c r="DE5" s="145"/>
      <c r="DF5" s="28"/>
      <c r="DG5" s="28">
        <v>12.98</v>
      </c>
      <c r="DH5" s="28">
        <v>33</v>
      </c>
      <c r="DI5" s="28"/>
      <c r="DJ5" s="28"/>
      <c r="DK5" s="28"/>
      <c r="DL5" s="39"/>
      <c r="DM5" s="34"/>
      <c r="DN5" s="34"/>
      <c r="DO5" s="34"/>
      <c r="DP5" s="34"/>
      <c r="DQ5" s="34"/>
    </row>
    <row r="6" spans="1:121" s="32" customFormat="1" x14ac:dyDescent="0.35">
      <c r="A6" s="34"/>
      <c r="B6" s="23">
        <v>20000</v>
      </c>
      <c r="C6" s="38">
        <f>F6*B6%</f>
        <v>109.87772464516013</v>
      </c>
      <c r="D6" s="113" t="s">
        <v>122</v>
      </c>
      <c r="E6" s="161">
        <f t="shared" ref="E6:E15" si="41">F6*$E$4/$F$39</f>
        <v>5.4938862322579523</v>
      </c>
      <c r="F6" s="120">
        <v>0.54938862322580062</v>
      </c>
      <c r="G6" s="36"/>
      <c r="H6" s="213"/>
      <c r="I6" s="87"/>
      <c r="J6" s="99">
        <f t="shared" ref="J6:J7" si="42">IF((H6)="",0,(H6))</f>
        <v>0</v>
      </c>
      <c r="K6" s="100">
        <f t="shared" ref="K6:K7" si="43">IF((I6)="",100,(I6))</f>
        <v>100</v>
      </c>
      <c r="L6" s="34"/>
      <c r="M6" s="1" t="s">
        <v>51</v>
      </c>
      <c r="N6" s="27" t="s">
        <v>55</v>
      </c>
      <c r="O6" s="9"/>
      <c r="P6" s="9"/>
      <c r="Q6" s="117">
        <f t="shared" ref="Q6" si="44">IF((O6)="",0,(O6))</f>
        <v>0</v>
      </c>
      <c r="R6" s="99">
        <f>IF((P6)="",1000,(P6))</f>
        <v>1000</v>
      </c>
      <c r="S6" s="36"/>
      <c r="T6" s="2">
        <f>SUM(AF5:AF38)</f>
        <v>26.167523712920104</v>
      </c>
      <c r="U6" s="34"/>
      <c r="V6" s="8"/>
      <c r="W6" s="9">
        <v>26</v>
      </c>
      <c r="X6" s="15"/>
      <c r="Y6" s="9">
        <v>30</v>
      </c>
      <c r="Z6" s="10"/>
      <c r="AA6" s="34"/>
      <c r="AB6" s="177" t="s">
        <v>122</v>
      </c>
      <c r="AC6" s="77">
        <v>1585.3104692500003</v>
      </c>
      <c r="AD6" s="72">
        <f t="shared" si="0"/>
        <v>8.7095153608670568</v>
      </c>
      <c r="AE6" s="78">
        <v>27</v>
      </c>
      <c r="AF6" s="73">
        <f t="shared" si="1"/>
        <v>0.14833492827096617</v>
      </c>
      <c r="AG6" s="75">
        <v>3</v>
      </c>
      <c r="AH6" s="74">
        <f t="shared" si="2"/>
        <v>1.6481658696774017E-2</v>
      </c>
      <c r="AI6" s="75">
        <v>3</v>
      </c>
      <c r="AJ6" s="74">
        <f t="shared" si="3"/>
        <v>1.6481658696774017E-2</v>
      </c>
      <c r="AK6" s="75">
        <v>0</v>
      </c>
      <c r="AL6" s="74">
        <f t="shared" si="4"/>
        <v>0</v>
      </c>
      <c r="AM6" s="75">
        <v>2.25</v>
      </c>
      <c r="AN6" s="74">
        <f t="shared" si="5"/>
        <v>1.2361244022580514E-2</v>
      </c>
      <c r="AO6" s="75">
        <v>36.75</v>
      </c>
      <c r="AP6" s="74">
        <f t="shared" si="6"/>
        <v>0.20190031903548172</v>
      </c>
      <c r="AQ6" s="75">
        <f>AE6*0.041-0.06</f>
        <v>1.0469999999999999</v>
      </c>
      <c r="AR6" s="74">
        <f t="shared" si="7"/>
        <v>5.7520988851741325E-3</v>
      </c>
      <c r="AS6" s="75">
        <f>AE6*0.01-0.032</f>
        <v>0.23800000000000002</v>
      </c>
      <c r="AT6" s="74">
        <f t="shared" si="8"/>
        <v>1.3075449232774056E-3</v>
      </c>
      <c r="AU6" s="75">
        <f>AE6*0.019-0.154</f>
        <v>0.35899999999999999</v>
      </c>
      <c r="AV6" s="74">
        <f t="shared" si="9"/>
        <v>1.9723051573806243E-3</v>
      </c>
      <c r="AW6" s="75">
        <f>AE6*0.036-0.319</f>
        <v>0.65300000000000002</v>
      </c>
      <c r="AX6" s="74">
        <f t="shared" si="10"/>
        <v>3.587507709664478E-3</v>
      </c>
      <c r="AY6" s="75">
        <f>AE6*0.008</f>
        <v>0.216</v>
      </c>
      <c r="AZ6" s="74">
        <f t="shared" si="11"/>
        <v>1.1866794261677293E-3</v>
      </c>
      <c r="BA6" s="75">
        <f>AE6*0.082-0.278</f>
        <v>1.9359999999999999</v>
      </c>
      <c r="BB6" s="74">
        <f t="shared" si="12"/>
        <v>1.0636163745651499E-2</v>
      </c>
      <c r="BC6" s="75">
        <f>AE6*0.025-0.189</f>
        <v>0.48600000000000004</v>
      </c>
      <c r="BD6" s="74">
        <f t="shared" si="13"/>
        <v>2.6700287088773913E-3</v>
      </c>
      <c r="BE6" s="75">
        <f>AE6*0.065-0.611</f>
        <v>1.1440000000000001</v>
      </c>
      <c r="BF6" s="74">
        <f t="shared" si="14"/>
        <v>6.2850058497031592E-3</v>
      </c>
      <c r="BG6" s="75">
        <f>AE6*0.043-0.329</f>
        <v>0.83199999999999985</v>
      </c>
      <c r="BH6" s="74">
        <f t="shared" si="15"/>
        <v>4.5709133452386608E-3</v>
      </c>
      <c r="BI6" s="75">
        <f>AE6*0.017-0.166</f>
        <v>0.29300000000000004</v>
      </c>
      <c r="BJ6" s="74">
        <f t="shared" si="16"/>
        <v>1.6097086660515961E-3</v>
      </c>
      <c r="BK6" s="75">
        <f>AE6*0.025+0.03</f>
        <v>0.70500000000000007</v>
      </c>
      <c r="BL6" s="74">
        <f t="shared" si="17"/>
        <v>3.8731897937418947E-3</v>
      </c>
      <c r="BM6" s="75">
        <f>AE6*0.032-0.427</f>
        <v>0.437</v>
      </c>
      <c r="BN6" s="75">
        <f t="shared" ref="BN6" si="45">BK6+BM6</f>
        <v>1.1420000000000001</v>
      </c>
      <c r="BO6" s="74">
        <f t="shared" si="19"/>
        <v>6.2740180772386436E-3</v>
      </c>
      <c r="BP6" s="75">
        <f>AE6*0.169+0.094</f>
        <v>4.6570000000000009</v>
      </c>
      <c r="BQ6" s="178">
        <f>AE6*0.055-0.532</f>
        <v>0.95300000000000007</v>
      </c>
      <c r="BR6" s="178">
        <f t="shared" ref="BR6" si="46">BP6+BQ6</f>
        <v>5.6100000000000012</v>
      </c>
      <c r="BS6" s="75">
        <v>16.5</v>
      </c>
      <c r="BT6" s="74">
        <f t="shared" si="21"/>
        <v>9.0649122832257109E-2</v>
      </c>
      <c r="BU6" s="75">
        <v>7.5</v>
      </c>
      <c r="BV6" s="74">
        <f t="shared" si="22"/>
        <v>4.1204146741935045E-2</v>
      </c>
      <c r="BW6" s="75">
        <f>BU6*0.9</f>
        <v>6.75</v>
      </c>
      <c r="BX6" s="74">
        <f t="shared" si="23"/>
        <v>3.7083732067741543E-2</v>
      </c>
      <c r="BY6" s="75">
        <v>0.4</v>
      </c>
      <c r="BZ6" s="74">
        <f t="shared" si="24"/>
        <v>2.1975544929032026E-3</v>
      </c>
      <c r="CA6" s="75">
        <v>0.5</v>
      </c>
      <c r="CB6" s="74">
        <f t="shared" si="25"/>
        <v>2.7469431161290031E-3</v>
      </c>
      <c r="CC6" s="75">
        <v>0</v>
      </c>
      <c r="CD6" s="74">
        <f t="shared" si="26"/>
        <v>0</v>
      </c>
      <c r="CE6" s="75">
        <v>0</v>
      </c>
      <c r="CF6" s="74">
        <f t="shared" si="27"/>
        <v>0</v>
      </c>
      <c r="CG6" s="75">
        <v>0</v>
      </c>
      <c r="CH6" s="74">
        <f t="shared" si="28"/>
        <v>0</v>
      </c>
      <c r="CI6" s="77">
        <f t="shared" ref="CI6" si="47">(CA6*435)+(CC6*256)-(CE6*282)</f>
        <v>217.5</v>
      </c>
      <c r="CJ6" s="72">
        <f t="shared" si="30"/>
        <v>1.1949202555161162</v>
      </c>
      <c r="CK6" s="75">
        <v>0</v>
      </c>
      <c r="CL6" s="74">
        <f t="shared" si="31"/>
        <v>0</v>
      </c>
      <c r="CM6" s="75">
        <f>AG6*0.013</f>
        <v>3.9E-2</v>
      </c>
      <c r="CN6" s="74">
        <f t="shared" si="32"/>
        <v>2.1426156305806224E-4</v>
      </c>
      <c r="CO6" s="75">
        <v>0</v>
      </c>
      <c r="CP6" s="74">
        <f t="shared" si="33"/>
        <v>0</v>
      </c>
      <c r="CQ6" s="75">
        <v>0</v>
      </c>
      <c r="CR6" s="74">
        <f t="shared" si="34"/>
        <v>0</v>
      </c>
      <c r="CS6" s="75">
        <v>0</v>
      </c>
      <c r="CT6" s="74">
        <f t="shared" si="35"/>
        <v>0</v>
      </c>
      <c r="CU6" s="75">
        <f t="shared" si="36"/>
        <v>22</v>
      </c>
      <c r="CV6" s="74">
        <f t="shared" si="37"/>
        <v>0.12086549710967613</v>
      </c>
      <c r="CW6" s="75"/>
      <c r="CX6" s="74"/>
      <c r="CY6" s="54">
        <v>1</v>
      </c>
      <c r="CZ6" s="74">
        <f t="shared" si="38"/>
        <v>5.4938862322580061E-3</v>
      </c>
      <c r="DA6" s="54">
        <v>3</v>
      </c>
      <c r="DB6" s="79">
        <f t="shared" si="39"/>
        <v>1.6481658696774017E-2</v>
      </c>
      <c r="DC6" s="78">
        <v>91</v>
      </c>
      <c r="DD6" s="74">
        <f t="shared" si="40"/>
        <v>0.49994364713547856</v>
      </c>
      <c r="DE6" s="179">
        <v>14.2</v>
      </c>
      <c r="DF6" s="54">
        <v>-19.149999999999999</v>
      </c>
      <c r="DG6" s="54"/>
      <c r="DH6" s="54">
        <v>25.1</v>
      </c>
      <c r="DI6" s="54"/>
      <c r="DJ6" s="54"/>
      <c r="DK6" s="54"/>
      <c r="DL6" s="162"/>
      <c r="DM6" s="34"/>
      <c r="DN6" s="34"/>
      <c r="DO6" s="34"/>
      <c r="DP6" s="34"/>
      <c r="DQ6" s="34"/>
    </row>
    <row r="7" spans="1:121" s="32" customFormat="1" x14ac:dyDescent="0.3">
      <c r="A7" s="34"/>
      <c r="B7" s="59">
        <v>30000</v>
      </c>
      <c r="C7" s="58">
        <f>F7*B7%</f>
        <v>6000</v>
      </c>
      <c r="D7" s="114" t="s">
        <v>123</v>
      </c>
      <c r="E7" s="119">
        <f t="shared" si="41"/>
        <v>199.99999999999804</v>
      </c>
      <c r="F7" s="119">
        <v>20</v>
      </c>
      <c r="G7" s="35"/>
      <c r="H7" s="212"/>
      <c r="I7" s="39">
        <v>20</v>
      </c>
      <c r="J7" s="97">
        <f t="shared" si="42"/>
        <v>0</v>
      </c>
      <c r="K7" s="98">
        <f t="shared" si="43"/>
        <v>20</v>
      </c>
      <c r="L7" s="68"/>
      <c r="M7" s="60" t="s">
        <v>161</v>
      </c>
      <c r="N7" s="61" t="s">
        <v>55</v>
      </c>
      <c r="O7" s="71">
        <v>14</v>
      </c>
      <c r="P7" s="193"/>
      <c r="Q7" s="189">
        <f t="shared" ref="Q7:Q8" si="48">IF((O7)="",0,(O7))</f>
        <v>14</v>
      </c>
      <c r="R7" s="97">
        <f t="shared" ref="R7:R8" si="49">IF((P7)="",1000,(P7))</f>
        <v>1000</v>
      </c>
      <c r="S7" s="35"/>
      <c r="T7" s="63">
        <f>SUM(AH5:AH38)</f>
        <v>14.000000000000078</v>
      </c>
      <c r="U7" s="34"/>
      <c r="V7" s="8"/>
      <c r="W7" s="193">
        <v>9</v>
      </c>
      <c r="X7" s="201"/>
      <c r="Y7" s="193">
        <v>14</v>
      </c>
      <c r="Z7" s="10"/>
      <c r="AA7" s="34"/>
      <c r="AB7" s="143" t="s">
        <v>123</v>
      </c>
      <c r="AC7" s="134">
        <v>3512.163075427999</v>
      </c>
      <c r="AD7" s="42">
        <f t="shared" si="0"/>
        <v>702.43261508559976</v>
      </c>
      <c r="AE7" s="135">
        <v>8.2100000000000009</v>
      </c>
      <c r="AF7" s="44">
        <f t="shared" si="1"/>
        <v>1.6420000000000001</v>
      </c>
      <c r="AG7" s="137">
        <v>1.17</v>
      </c>
      <c r="AH7" s="46">
        <f t="shared" si="2"/>
        <v>0.23399999999999999</v>
      </c>
      <c r="AI7" s="137">
        <v>1.17</v>
      </c>
      <c r="AJ7" s="46">
        <f t="shared" si="3"/>
        <v>0.23399999999999999</v>
      </c>
      <c r="AK7" s="137">
        <v>76.040000000000006</v>
      </c>
      <c r="AL7" s="46">
        <f t="shared" si="4"/>
        <v>15.208000000000002</v>
      </c>
      <c r="AM7" s="137">
        <v>0.47</v>
      </c>
      <c r="AN7" s="46">
        <f t="shared" si="5"/>
        <v>9.3999999999999986E-2</v>
      </c>
      <c r="AO7" s="137">
        <v>0.77</v>
      </c>
      <c r="AP7" s="46">
        <f t="shared" si="6"/>
        <v>0.154</v>
      </c>
      <c r="AQ7" s="136">
        <f>AE7*0.034+0.008</f>
        <v>0.28714000000000006</v>
      </c>
      <c r="AR7" s="46">
        <f t="shared" si="7"/>
        <v>5.7428000000000007E-2</v>
      </c>
      <c r="AS7" s="136">
        <f>AE7*0.018+0.065</f>
        <v>0.21278</v>
      </c>
      <c r="AT7" s="46">
        <f t="shared" si="8"/>
        <v>4.2555999999999997E-2</v>
      </c>
      <c r="AU7" s="136">
        <f>AE7*0.038+0.088</f>
        <v>0.39998</v>
      </c>
      <c r="AV7" s="46">
        <f t="shared" si="9"/>
        <v>7.9996000000000012E-2</v>
      </c>
      <c r="AW7" s="136">
        <f>AE7*0.034+0.002</f>
        <v>0.28114000000000006</v>
      </c>
      <c r="AX7" s="46">
        <f t="shared" si="10"/>
        <v>5.6228000000000007E-2</v>
      </c>
      <c r="AY7" s="136">
        <f>AE7*0.011+0.014</f>
        <v>0.10431</v>
      </c>
      <c r="AZ7" s="46">
        <f t="shared" si="11"/>
        <v>2.0861999999999999E-2</v>
      </c>
      <c r="BA7" s="136">
        <f>AE7*0.08-0.03</f>
        <v>0.62680000000000002</v>
      </c>
      <c r="BB7" s="46">
        <f t="shared" si="12"/>
        <v>0.12536</v>
      </c>
      <c r="BC7" s="136">
        <f>AE7*0.037+0.016</f>
        <v>0.31977000000000005</v>
      </c>
      <c r="BD7" s="46">
        <f t="shared" si="13"/>
        <v>6.3954000000000011E-2</v>
      </c>
      <c r="BE7" s="136">
        <f>AE7*0.075+0.021</f>
        <v>0.63675000000000004</v>
      </c>
      <c r="BF7" s="46">
        <f t="shared" si="14"/>
        <v>0.12735000000000002</v>
      </c>
      <c r="BG7" s="136">
        <f>AE7*0.054+0.02</f>
        <v>0.46334000000000009</v>
      </c>
      <c r="BH7" s="46">
        <f t="shared" si="15"/>
        <v>9.2668000000000028E-2</v>
      </c>
      <c r="BI7" s="136">
        <f>AE7*0.024-0.013</f>
        <v>0.18404000000000001</v>
      </c>
      <c r="BJ7" s="46">
        <f t="shared" si="16"/>
        <v>3.6808E-2</v>
      </c>
      <c r="BK7" s="136">
        <f>AE7*0.052-0.025</f>
        <v>0.40192</v>
      </c>
      <c r="BL7" s="46">
        <f t="shared" si="17"/>
        <v>8.0383999999999997E-2</v>
      </c>
      <c r="BM7" s="136">
        <f>AE7*0.04568</f>
        <v>0.3750328</v>
      </c>
      <c r="BN7" s="136">
        <f t="shared" si="18"/>
        <v>0.7769528</v>
      </c>
      <c r="BO7" s="46">
        <f t="shared" si="19"/>
        <v>0.15539056000000001</v>
      </c>
      <c r="BP7" s="136">
        <f>AE7*0.044-0.006</f>
        <v>0.35524</v>
      </c>
      <c r="BQ7" s="136">
        <f>AE7*0.046+0.005</f>
        <v>0.38266000000000006</v>
      </c>
      <c r="BR7" s="136">
        <f t="shared" si="20"/>
        <v>0.7379</v>
      </c>
      <c r="BS7" s="136">
        <v>0.05</v>
      </c>
      <c r="BT7" s="46">
        <f t="shared" si="21"/>
        <v>0.01</v>
      </c>
      <c r="BU7" s="136">
        <v>0.13</v>
      </c>
      <c r="BV7" s="46">
        <f t="shared" si="22"/>
        <v>2.5999999999999999E-2</v>
      </c>
      <c r="BW7" s="136">
        <f>BU7*0.46</f>
        <v>5.9800000000000006E-2</v>
      </c>
      <c r="BX7" s="46">
        <f t="shared" si="23"/>
        <v>1.196E-2</v>
      </c>
      <c r="BY7" s="136">
        <v>0.04</v>
      </c>
      <c r="BZ7" s="46">
        <f t="shared" si="24"/>
        <v>8.0000000000000002E-3</v>
      </c>
      <c r="CA7" s="136">
        <v>4.0000000000000001E-3</v>
      </c>
      <c r="CB7" s="46">
        <f t="shared" si="25"/>
        <v>8.0000000000000004E-4</v>
      </c>
      <c r="CC7" s="137">
        <v>0.31</v>
      </c>
      <c r="CD7" s="46">
        <f t="shared" si="26"/>
        <v>6.2E-2</v>
      </c>
      <c r="CE7" s="136">
        <v>0.04</v>
      </c>
      <c r="CF7" s="46">
        <f t="shared" si="27"/>
        <v>8.0000000000000002E-3</v>
      </c>
      <c r="CG7" s="137">
        <v>0.08</v>
      </c>
      <c r="CH7" s="46">
        <f t="shared" si="28"/>
        <v>1.6E-2</v>
      </c>
      <c r="CI7" s="137">
        <f t="shared" si="29"/>
        <v>69.819999999999993</v>
      </c>
      <c r="CJ7" s="42">
        <f t="shared" si="30"/>
        <v>13.963999999999999</v>
      </c>
      <c r="CK7" s="136">
        <v>0.97399999999999998</v>
      </c>
      <c r="CL7" s="46">
        <f t="shared" si="31"/>
        <v>0.1948</v>
      </c>
      <c r="CM7" s="137">
        <f>AG7*0.323</f>
        <v>0.37790999999999997</v>
      </c>
      <c r="CN7" s="46">
        <f t="shared" si="32"/>
        <v>7.5581999999999996E-2</v>
      </c>
      <c r="CO7" s="137">
        <v>4.7300000000000004</v>
      </c>
      <c r="CP7" s="46">
        <f t="shared" si="33"/>
        <v>0.94600000000000006</v>
      </c>
      <c r="CQ7" s="137">
        <v>1.19</v>
      </c>
      <c r="CR7" s="46">
        <f t="shared" si="34"/>
        <v>0.23799999999999999</v>
      </c>
      <c r="CS7" s="137">
        <v>0.48</v>
      </c>
      <c r="CT7" s="46">
        <f t="shared" si="35"/>
        <v>9.5999999999999988E-2</v>
      </c>
      <c r="CU7" s="137">
        <f t="shared" si="36"/>
        <v>77.38</v>
      </c>
      <c r="CV7" s="46">
        <f t="shared" si="37"/>
        <v>15.475999999999999</v>
      </c>
      <c r="CW7" s="137"/>
      <c r="CX7" s="46"/>
      <c r="CY7" s="126">
        <v>0.48</v>
      </c>
      <c r="CZ7" s="46">
        <f t="shared" si="38"/>
        <v>9.5999999999999988E-2</v>
      </c>
      <c r="DA7" s="126">
        <v>5</v>
      </c>
      <c r="DB7" s="35">
        <f t="shared" si="39"/>
        <v>1</v>
      </c>
      <c r="DC7" s="135">
        <v>88</v>
      </c>
      <c r="DD7" s="46">
        <f t="shared" si="40"/>
        <v>17.600000000000001</v>
      </c>
      <c r="DE7" s="125">
        <v>19.54</v>
      </c>
      <c r="DF7" s="126">
        <v>-19.54</v>
      </c>
      <c r="DG7" s="126">
        <v>-29.1</v>
      </c>
      <c r="DH7" s="126">
        <v>17.97</v>
      </c>
      <c r="DI7" s="126">
        <v>-34.29</v>
      </c>
      <c r="DJ7" s="126"/>
      <c r="DK7" s="126"/>
      <c r="DL7" s="127"/>
      <c r="DM7" s="138"/>
      <c r="DN7" s="34"/>
      <c r="DO7" s="34"/>
      <c r="DP7" s="34"/>
      <c r="DQ7" s="34"/>
    </row>
    <row r="8" spans="1:121" s="32" customFormat="1" x14ac:dyDescent="0.35">
      <c r="A8" s="34"/>
      <c r="B8" s="23">
        <v>13000</v>
      </c>
      <c r="C8" s="38">
        <f t="shared" ref="C8" si="50">F8*B8%</f>
        <v>0</v>
      </c>
      <c r="D8" s="113" t="s">
        <v>11</v>
      </c>
      <c r="E8" s="161">
        <f t="shared" si="41"/>
        <v>0</v>
      </c>
      <c r="F8" s="120">
        <v>0</v>
      </c>
      <c r="G8" s="36"/>
      <c r="H8" s="213"/>
      <c r="I8" s="87"/>
      <c r="J8" s="163">
        <f>IF((H8)="",0,(H8))</f>
        <v>0</v>
      </c>
      <c r="K8" s="164">
        <f>IF((I8)="",100,(I8))</f>
        <v>100</v>
      </c>
      <c r="L8" s="68"/>
      <c r="M8" s="88" t="s">
        <v>162</v>
      </c>
      <c r="N8" s="89" t="s">
        <v>55</v>
      </c>
      <c r="O8" s="12"/>
      <c r="P8" s="9">
        <v>7</v>
      </c>
      <c r="Q8" s="117">
        <f t="shared" si="48"/>
        <v>0</v>
      </c>
      <c r="R8" s="99">
        <f t="shared" si="49"/>
        <v>7</v>
      </c>
      <c r="S8" s="79"/>
      <c r="T8" s="2">
        <f>SUM(AJ5:AJ38)</f>
        <v>7.0000000000000533</v>
      </c>
      <c r="U8" s="34"/>
      <c r="V8" s="8"/>
      <c r="W8" s="9">
        <v>6</v>
      </c>
      <c r="X8" s="201"/>
      <c r="Y8" s="9">
        <v>7</v>
      </c>
      <c r="Z8" s="10"/>
      <c r="AA8" s="34"/>
      <c r="AB8" s="177" t="s">
        <v>11</v>
      </c>
      <c r="AC8" s="77">
        <v>3315</v>
      </c>
      <c r="AD8" s="72">
        <f t="shared" si="0"/>
        <v>0</v>
      </c>
      <c r="AE8" s="78">
        <v>7.42</v>
      </c>
      <c r="AF8" s="73">
        <f t="shared" si="1"/>
        <v>0</v>
      </c>
      <c r="AG8" s="75">
        <v>3.76</v>
      </c>
      <c r="AH8" s="74">
        <f t="shared" si="2"/>
        <v>0</v>
      </c>
      <c r="AI8" s="75">
        <v>3.76</v>
      </c>
      <c r="AJ8" s="74">
        <f t="shared" si="3"/>
        <v>0</v>
      </c>
      <c r="AK8" s="75">
        <v>63.442</v>
      </c>
      <c r="AL8" s="74">
        <f t="shared" si="4"/>
        <v>0</v>
      </c>
      <c r="AM8" s="75">
        <v>2.2930000000000001</v>
      </c>
      <c r="AN8" s="74">
        <f t="shared" si="5"/>
        <v>0</v>
      </c>
      <c r="AO8" s="75">
        <v>1.145</v>
      </c>
      <c r="AP8" s="74">
        <f t="shared" si="6"/>
        <v>0</v>
      </c>
      <c r="AQ8" s="75">
        <f>AE8*0.0301</f>
        <v>0.22334199999999998</v>
      </c>
      <c r="AR8" s="74">
        <f t="shared" si="7"/>
        <v>0</v>
      </c>
      <c r="AS8" s="75">
        <f>AE8*0.014+0.063</f>
        <v>0.16688</v>
      </c>
      <c r="AT8" s="74">
        <f t="shared" si="8"/>
        <v>0</v>
      </c>
      <c r="AU8" s="75">
        <f>AE8*0.03+0.104</f>
        <v>0.3266</v>
      </c>
      <c r="AV8" s="74">
        <f t="shared" si="9"/>
        <v>0</v>
      </c>
      <c r="AW8" s="75">
        <f>AE8*0.031+0.036</f>
        <v>0.26601999999999998</v>
      </c>
      <c r="AX8" s="74">
        <f t="shared" si="10"/>
        <v>0</v>
      </c>
      <c r="AY8" s="75">
        <f>AE8*0.0079</f>
        <v>5.8618000000000003E-2</v>
      </c>
      <c r="AZ8" s="74">
        <f t="shared" si="11"/>
        <v>0</v>
      </c>
      <c r="BA8" s="75">
        <f>AE8*0.034+0.104</f>
        <v>0.35627999999999999</v>
      </c>
      <c r="BB8" s="74">
        <f t="shared" si="12"/>
        <v>0</v>
      </c>
      <c r="BC8" s="75">
        <f>AE8*0.035-0.009</f>
        <v>0.25070000000000003</v>
      </c>
      <c r="BD8" s="74">
        <f t="shared" si="13"/>
        <v>0</v>
      </c>
      <c r="BE8" s="75">
        <f>AE8*0.144-0.191</f>
        <v>0.87747999999999982</v>
      </c>
      <c r="BF8" s="74">
        <f t="shared" si="14"/>
        <v>0</v>
      </c>
      <c r="BG8" s="75">
        <f>AE8*0.042+0.036</f>
        <v>0.34764</v>
      </c>
      <c r="BH8" s="74">
        <f t="shared" si="15"/>
        <v>0</v>
      </c>
      <c r="BI8" s="75">
        <f>AE8*0.024+0.036</f>
        <v>0.21407999999999999</v>
      </c>
      <c r="BJ8" s="74">
        <f t="shared" si="16"/>
        <v>0</v>
      </c>
      <c r="BK8" s="75">
        <f>AE8*0.053-0.039</f>
        <v>0.35426000000000002</v>
      </c>
      <c r="BL8" s="74">
        <f t="shared" si="17"/>
        <v>0</v>
      </c>
      <c r="BM8" s="75">
        <f>AE8*0.0366</f>
        <v>0.27157199999999998</v>
      </c>
      <c r="BN8" s="75">
        <f t="shared" ref="BN8:BN10" si="51">BK8+BM8</f>
        <v>0.62583199999999994</v>
      </c>
      <c r="BO8" s="74">
        <f t="shared" si="19"/>
        <v>0</v>
      </c>
      <c r="BP8" s="75">
        <f>AE8*0.025+0.109</f>
        <v>0.29449999999999998</v>
      </c>
      <c r="BQ8" s="178">
        <f>AE8*0.048+0.001</f>
        <v>0.35715999999999998</v>
      </c>
      <c r="BR8" s="178">
        <f t="shared" ref="BR8:BR10" si="52">BP8+BQ8</f>
        <v>0.65165999999999991</v>
      </c>
      <c r="BS8" s="75">
        <v>0.02</v>
      </c>
      <c r="BT8" s="74">
        <f t="shared" si="21"/>
        <v>0</v>
      </c>
      <c r="BU8" s="75">
        <v>0.22040000000000001</v>
      </c>
      <c r="BV8" s="74">
        <f t="shared" si="22"/>
        <v>0</v>
      </c>
      <c r="BW8" s="75">
        <f>BU8*0.3077</f>
        <v>6.7817080000000002E-2</v>
      </c>
      <c r="BX8" s="74">
        <f t="shared" si="23"/>
        <v>0</v>
      </c>
      <c r="BY8" s="75">
        <v>0.09</v>
      </c>
      <c r="BZ8" s="74">
        <f t="shared" si="24"/>
        <v>0</v>
      </c>
      <c r="CA8" s="75">
        <v>0.01</v>
      </c>
      <c r="CB8" s="74">
        <f t="shared" si="25"/>
        <v>0</v>
      </c>
      <c r="CC8" s="75">
        <v>0.32</v>
      </c>
      <c r="CD8" s="74">
        <f t="shared" si="26"/>
        <v>0</v>
      </c>
      <c r="CE8" s="75">
        <v>0.05</v>
      </c>
      <c r="CF8" s="74">
        <f t="shared" si="27"/>
        <v>0</v>
      </c>
      <c r="CG8" s="75">
        <v>0.11</v>
      </c>
      <c r="CH8" s="74">
        <f t="shared" si="28"/>
        <v>0</v>
      </c>
      <c r="CI8" s="77">
        <f t="shared" ref="CI8:CI11" si="53">(CA8*435)+(CC8*256)-(CE8*282)</f>
        <v>72.169999999999987</v>
      </c>
      <c r="CJ8" s="72">
        <f t="shared" si="30"/>
        <v>0</v>
      </c>
      <c r="CK8" s="75">
        <v>0.53300000000000003</v>
      </c>
      <c r="CL8" s="74">
        <f t="shared" si="31"/>
        <v>0</v>
      </c>
      <c r="CM8" s="75">
        <f>AG8*0.4803</f>
        <v>1.805928</v>
      </c>
      <c r="CN8" s="74">
        <f t="shared" si="32"/>
        <v>0</v>
      </c>
      <c r="CO8" s="75">
        <v>10.242000000000001</v>
      </c>
      <c r="CP8" s="74">
        <f t="shared" si="33"/>
        <v>0</v>
      </c>
      <c r="CQ8" s="75">
        <v>3.1019999999999999</v>
      </c>
      <c r="CR8" s="74">
        <f t="shared" si="34"/>
        <v>0</v>
      </c>
      <c r="CS8" s="75">
        <v>1.3140000000000001</v>
      </c>
      <c r="CT8" s="74">
        <f t="shared" si="35"/>
        <v>0</v>
      </c>
      <c r="CU8" s="75">
        <f t="shared" si="36"/>
        <v>73.190000000000012</v>
      </c>
      <c r="CV8" s="74">
        <f t="shared" si="37"/>
        <v>0</v>
      </c>
      <c r="CW8" s="75"/>
      <c r="CX8" s="74"/>
      <c r="CY8" s="54">
        <v>0.61</v>
      </c>
      <c r="CZ8" s="74">
        <f t="shared" si="38"/>
        <v>0</v>
      </c>
      <c r="DA8" s="54">
        <v>5</v>
      </c>
      <c r="DB8" s="79">
        <f t="shared" si="39"/>
        <v>0</v>
      </c>
      <c r="DC8" s="78">
        <v>87.808000000000007</v>
      </c>
      <c r="DD8" s="74">
        <f t="shared" si="40"/>
        <v>0</v>
      </c>
      <c r="DE8" s="179"/>
      <c r="DF8" s="54"/>
      <c r="DG8" s="54">
        <v>15.15</v>
      </c>
      <c r="DH8" s="54">
        <v>35.75</v>
      </c>
      <c r="DI8" s="54"/>
      <c r="DJ8" s="54">
        <v>15.59</v>
      </c>
      <c r="DK8" s="54"/>
      <c r="DL8" s="162"/>
      <c r="DM8" s="34"/>
      <c r="DN8" s="34"/>
      <c r="DO8" s="34"/>
      <c r="DP8" s="34"/>
      <c r="DQ8" s="34"/>
    </row>
    <row r="9" spans="1:121" s="32" customFormat="1" x14ac:dyDescent="0.35">
      <c r="A9" s="34"/>
      <c r="B9" s="59">
        <v>17000</v>
      </c>
      <c r="C9" s="58">
        <f t="shared" ref="C9:C20" si="54">F9*B9%</f>
        <v>3337.3283905055205</v>
      </c>
      <c r="D9" s="114" t="s">
        <v>12</v>
      </c>
      <c r="E9" s="119">
        <f t="shared" si="41"/>
        <v>196.31343473561691</v>
      </c>
      <c r="F9" s="119">
        <v>19.631343473561884</v>
      </c>
      <c r="G9" s="35"/>
      <c r="H9" s="212"/>
      <c r="I9" s="39"/>
      <c r="J9" s="97">
        <f t="shared" ref="J9:J38" si="55">IF((H9)="",0,(H9))</f>
        <v>0</v>
      </c>
      <c r="K9" s="98">
        <f t="shared" ref="K9:K38" si="56">IF((I9)="",100,(I9))</f>
        <v>100</v>
      </c>
      <c r="L9" s="34"/>
      <c r="M9" s="60" t="s">
        <v>121</v>
      </c>
      <c r="N9" s="61" t="s">
        <v>55</v>
      </c>
      <c r="O9" s="71">
        <v>30</v>
      </c>
      <c r="P9" s="70"/>
      <c r="Q9" s="106">
        <f t="shared" ref="Q9:Q18" si="57">IF((O9)="",0,(O9))</f>
        <v>30</v>
      </c>
      <c r="R9" s="97">
        <f>IF((P9)="",1000,(P9))</f>
        <v>1000</v>
      </c>
      <c r="S9" s="35"/>
      <c r="T9" s="63">
        <f>SUM(AL5:AL38)</f>
        <v>30.000000000000064</v>
      </c>
      <c r="U9" s="34"/>
      <c r="V9" s="8"/>
      <c r="W9" s="193">
        <v>20</v>
      </c>
      <c r="X9" s="201"/>
      <c r="Y9" s="193">
        <v>30</v>
      </c>
      <c r="Z9" s="10"/>
      <c r="AA9" s="34"/>
      <c r="AB9" s="143" t="s">
        <v>12</v>
      </c>
      <c r="AC9" s="43">
        <v>3112</v>
      </c>
      <c r="AD9" s="42">
        <f t="shared" si="0"/>
        <v>610.92740889724587</v>
      </c>
      <c r="AE9" s="45">
        <v>11.798</v>
      </c>
      <c r="AF9" s="44">
        <f t="shared" si="1"/>
        <v>2.3161059030108313</v>
      </c>
      <c r="AG9" s="47">
        <v>1.9219999999999999</v>
      </c>
      <c r="AH9" s="46">
        <f t="shared" si="2"/>
        <v>0.37731442156185946</v>
      </c>
      <c r="AI9" s="47">
        <v>1.9219999999999999</v>
      </c>
      <c r="AJ9" s="46">
        <f t="shared" si="3"/>
        <v>0.37731442156185946</v>
      </c>
      <c r="AK9" s="47">
        <v>60.253</v>
      </c>
      <c r="AL9" s="46">
        <f t="shared" si="4"/>
        <v>11.828473383125242</v>
      </c>
      <c r="AM9" s="47">
        <v>2.6819999999999999</v>
      </c>
      <c r="AN9" s="46">
        <f t="shared" si="5"/>
        <v>0.52651263196092979</v>
      </c>
      <c r="AO9" s="47">
        <v>1.786</v>
      </c>
      <c r="AP9" s="46">
        <f t="shared" si="6"/>
        <v>0.35061579443781526</v>
      </c>
      <c r="AQ9" s="47">
        <f>AE9*0.018+0.116</f>
        <v>0.32836399999999999</v>
      </c>
      <c r="AR9" s="46">
        <f t="shared" si="7"/>
        <v>6.446226468352674E-2</v>
      </c>
      <c r="AS9" s="47">
        <f>AE9*0.014+0.024</f>
        <v>0.18917200000000001</v>
      </c>
      <c r="AT9" s="46">
        <f t="shared" si="8"/>
        <v>3.7137005075806494E-2</v>
      </c>
      <c r="AU9" s="47">
        <f>AE9*0.032+0.069</f>
        <v>0.44653599999999999</v>
      </c>
      <c r="AV9" s="46">
        <f t="shared" si="9"/>
        <v>8.7661015893104294E-2</v>
      </c>
      <c r="AW9" s="47">
        <f>AE9*0.023+0.059</f>
        <v>0.33035399999999998</v>
      </c>
      <c r="AX9" s="46">
        <f t="shared" si="10"/>
        <v>6.4852928418650618E-2</v>
      </c>
      <c r="AY9" s="47">
        <f>AE9*0.009+0.044</f>
        <v>0.15018199999999998</v>
      </c>
      <c r="AZ9" s="46">
        <f t="shared" si="11"/>
        <v>2.9482744255464707E-2</v>
      </c>
      <c r="BA9" s="47">
        <f>AE9*0.041+0.081</f>
        <v>0.56471800000000005</v>
      </c>
      <c r="BB9" s="46">
        <f t="shared" si="12"/>
        <v>0.11086173023702922</v>
      </c>
      <c r="BC9" s="47">
        <f>AE9*0.034-0.004</f>
        <v>0.39713200000000004</v>
      </c>
      <c r="BD9" s="46">
        <f t="shared" si="13"/>
        <v>7.7962346963425785E-2</v>
      </c>
      <c r="BE9" s="47">
        <f>AE9*0.062+0.043</f>
        <v>0.77447600000000005</v>
      </c>
      <c r="BF9" s="46">
        <f t="shared" si="14"/>
        <v>0.15204004368030316</v>
      </c>
      <c r="BG9" s="47">
        <f>AE9*0.038+0.054</f>
        <v>0.50232399999999999</v>
      </c>
      <c r="BH9" s="46">
        <f t="shared" si="15"/>
        <v>9.8612949790135004E-2</v>
      </c>
      <c r="BI9" s="47">
        <f>AE9*0.021+0.015</f>
        <v>0.26275799999999999</v>
      </c>
      <c r="BJ9" s="46">
        <f t="shared" si="16"/>
        <v>5.1582925484261737E-2</v>
      </c>
      <c r="BK9" s="47">
        <f>AE9*0.048-0.034</f>
        <v>0.532304</v>
      </c>
      <c r="BL9" s="46">
        <f t="shared" si="17"/>
        <v>0.10449842656350886</v>
      </c>
      <c r="BM9" s="47">
        <f>AE9*0.03</f>
        <v>0.35393999999999998</v>
      </c>
      <c r="BN9" s="47">
        <f t="shared" si="51"/>
        <v>0.88624400000000003</v>
      </c>
      <c r="BO9" s="46">
        <f t="shared" si="19"/>
        <v>0.17398160365383381</v>
      </c>
      <c r="BP9" s="47">
        <f>AE9*0.035+0.07</f>
        <v>0.48293000000000003</v>
      </c>
      <c r="BQ9" s="48">
        <f>AE9*0.042+0.036</f>
        <v>0.53151599999999999</v>
      </c>
      <c r="BR9" s="48">
        <f t="shared" si="52"/>
        <v>1.014446</v>
      </c>
      <c r="BS9" s="47">
        <v>7.0000000000000007E-2</v>
      </c>
      <c r="BT9" s="46">
        <f t="shared" si="21"/>
        <v>1.3741940431493321E-2</v>
      </c>
      <c r="BU9" s="47">
        <v>0.27939999999999998</v>
      </c>
      <c r="BV9" s="46">
        <f t="shared" si="22"/>
        <v>5.4849973665131897E-2</v>
      </c>
      <c r="BW9" s="47">
        <f>BU9*0.366</f>
        <v>0.10226039999999999</v>
      </c>
      <c r="BX9" s="46">
        <f t="shared" si="23"/>
        <v>2.0075090361438275E-2</v>
      </c>
      <c r="BY9" s="47">
        <v>0.1</v>
      </c>
      <c r="BZ9" s="46">
        <f t="shared" si="24"/>
        <v>1.9631343473561883E-2</v>
      </c>
      <c r="CA9" s="47">
        <v>0.01</v>
      </c>
      <c r="CB9" s="46">
        <f t="shared" si="25"/>
        <v>1.9631343473561886E-3</v>
      </c>
      <c r="CC9" s="47">
        <v>0.4</v>
      </c>
      <c r="CD9" s="46">
        <f t="shared" si="26"/>
        <v>7.8525373894247533E-2</v>
      </c>
      <c r="CE9" s="47">
        <v>0.09</v>
      </c>
      <c r="CF9" s="46">
        <f t="shared" si="27"/>
        <v>1.7668209126205696E-2</v>
      </c>
      <c r="CG9" s="47">
        <v>0.15</v>
      </c>
      <c r="CH9" s="46">
        <f t="shared" si="28"/>
        <v>2.9447015210342826E-2</v>
      </c>
      <c r="CI9" s="43">
        <f t="shared" si="53"/>
        <v>81.37</v>
      </c>
      <c r="CJ9" s="42">
        <f t="shared" si="30"/>
        <v>15.974024184437306</v>
      </c>
      <c r="CK9" s="47">
        <v>0.91900000000000004</v>
      </c>
      <c r="CL9" s="46">
        <f t="shared" si="31"/>
        <v>0.18041204652203371</v>
      </c>
      <c r="CM9" s="47">
        <f>AG9*0.432</f>
        <v>0.83030399999999993</v>
      </c>
      <c r="CN9" s="46">
        <f t="shared" si="32"/>
        <v>0.16299983011472324</v>
      </c>
      <c r="CO9" s="47">
        <v>12.503</v>
      </c>
      <c r="CP9" s="46">
        <f t="shared" si="33"/>
        <v>2.4545068744994425</v>
      </c>
      <c r="CQ9" s="47">
        <v>3.375</v>
      </c>
      <c r="CR9" s="46">
        <f t="shared" si="34"/>
        <v>0.66255784223271363</v>
      </c>
      <c r="CS9" s="47">
        <v>2.3519999999999999</v>
      </c>
      <c r="CT9" s="46">
        <f t="shared" si="35"/>
        <v>0.46172919849817551</v>
      </c>
      <c r="CU9" s="47">
        <f t="shared" si="36"/>
        <v>70.864999999999995</v>
      </c>
      <c r="CV9" s="46">
        <f t="shared" si="37"/>
        <v>13.911751552539629</v>
      </c>
      <c r="CW9" s="47"/>
      <c r="CX9" s="46"/>
      <c r="CY9" s="28">
        <v>0.54</v>
      </c>
      <c r="CZ9" s="46">
        <f t="shared" si="38"/>
        <v>0.10600925475723418</v>
      </c>
      <c r="DA9" s="28">
        <v>8</v>
      </c>
      <c r="DB9" s="35">
        <f t="shared" si="39"/>
        <v>1.5705074778849508</v>
      </c>
      <c r="DC9" s="45">
        <v>89.052999999999997</v>
      </c>
      <c r="DD9" s="46">
        <f t="shared" si="40"/>
        <v>17.482300303511064</v>
      </c>
      <c r="DE9" s="145"/>
      <c r="DF9" s="28"/>
      <c r="DG9" s="28">
        <v>14.61</v>
      </c>
      <c r="DH9" s="28">
        <v>26.4</v>
      </c>
      <c r="DI9" s="28"/>
      <c r="DJ9" s="28">
        <v>15.24</v>
      </c>
      <c r="DK9" s="28"/>
      <c r="DL9" s="39"/>
      <c r="DM9" s="34"/>
      <c r="DN9" s="34"/>
      <c r="DO9" s="34"/>
      <c r="DP9" s="34"/>
      <c r="DQ9" s="34"/>
    </row>
    <row r="10" spans="1:121" s="32" customFormat="1" x14ac:dyDescent="0.35">
      <c r="A10" s="34"/>
      <c r="B10" s="159">
        <v>13000</v>
      </c>
      <c r="C10" s="38">
        <f t="shared" si="54"/>
        <v>520</v>
      </c>
      <c r="D10" s="160" t="s">
        <v>96</v>
      </c>
      <c r="E10" s="161">
        <f t="shared" si="41"/>
        <v>39.999999999999609</v>
      </c>
      <c r="F10" s="161">
        <v>4</v>
      </c>
      <c r="G10" s="79"/>
      <c r="H10" s="214"/>
      <c r="I10" s="162">
        <v>4</v>
      </c>
      <c r="J10" s="163">
        <f t="shared" si="55"/>
        <v>0</v>
      </c>
      <c r="K10" s="164">
        <f t="shared" si="56"/>
        <v>4</v>
      </c>
      <c r="L10" s="34"/>
      <c r="M10" s="88" t="s">
        <v>83</v>
      </c>
      <c r="N10" s="89" t="s">
        <v>55</v>
      </c>
      <c r="O10" s="12"/>
      <c r="P10" s="9">
        <v>1.5</v>
      </c>
      <c r="Q10" s="118">
        <f t="shared" si="57"/>
        <v>0</v>
      </c>
      <c r="R10" s="163">
        <f>IF((P10)="",1000,(P10))</f>
        <v>1.5</v>
      </c>
      <c r="S10" s="79"/>
      <c r="T10" s="86">
        <f>SUM(AN5:AN38)</f>
        <v>1.126781440774526</v>
      </c>
      <c r="U10" s="34"/>
      <c r="V10" s="8"/>
      <c r="W10" s="12">
        <v>1</v>
      </c>
      <c r="X10" s="15"/>
      <c r="Y10" s="12">
        <v>1.5</v>
      </c>
      <c r="Z10" s="10"/>
      <c r="AA10" s="34"/>
      <c r="AB10" s="177" t="s">
        <v>96</v>
      </c>
      <c r="AC10" s="77">
        <v>2748</v>
      </c>
      <c r="AD10" s="72">
        <f t="shared" si="0"/>
        <v>109.92</v>
      </c>
      <c r="AE10" s="78">
        <v>10.048999999999999</v>
      </c>
      <c r="AF10" s="73">
        <f t="shared" si="1"/>
        <v>0.40195999999999998</v>
      </c>
      <c r="AG10" s="75">
        <v>2.4910000000000001</v>
      </c>
      <c r="AH10" s="74">
        <f t="shared" si="2"/>
        <v>9.9640000000000006E-2</v>
      </c>
      <c r="AI10" s="75">
        <v>2.4910000000000001</v>
      </c>
      <c r="AJ10" s="74">
        <f t="shared" si="3"/>
        <v>9.9640000000000006E-2</v>
      </c>
      <c r="AK10" s="75">
        <v>51.63</v>
      </c>
      <c r="AL10" s="74">
        <f t="shared" si="4"/>
        <v>2.0651999999999999</v>
      </c>
      <c r="AM10" s="75">
        <v>4.4429999999999996</v>
      </c>
      <c r="AN10" s="74">
        <f t="shared" si="5"/>
        <v>0.17771999999999999</v>
      </c>
      <c r="AO10" s="75">
        <v>2.5680000000000001</v>
      </c>
      <c r="AP10" s="74">
        <f t="shared" si="6"/>
        <v>0.10272000000000001</v>
      </c>
      <c r="AQ10" s="75">
        <f>AE10*0.024+0.125</f>
        <v>0.366176</v>
      </c>
      <c r="AR10" s="74">
        <f t="shared" si="7"/>
        <v>1.464704E-2</v>
      </c>
      <c r="AS10" s="75">
        <f>AE10*0.013+0.031</f>
        <v>0.16163699999999998</v>
      </c>
      <c r="AT10" s="74">
        <f t="shared" si="8"/>
        <v>6.4654799999999991E-3</v>
      </c>
      <c r="AU10" s="75">
        <f>AE10*0.028+0.108</f>
        <v>0.389372</v>
      </c>
      <c r="AV10" s="74">
        <f t="shared" si="9"/>
        <v>1.5574879999999999E-2</v>
      </c>
      <c r="AW10" s="75">
        <f>AE10*0.027+0.06</f>
        <v>0.33132299999999998</v>
      </c>
      <c r="AX10" s="74">
        <f t="shared" si="10"/>
        <v>1.325292E-2</v>
      </c>
      <c r="AY10" s="75">
        <f>AE10*0.01+0.024</f>
        <v>0.12448999999999999</v>
      </c>
      <c r="AZ10" s="74">
        <f t="shared" si="11"/>
        <v>4.9795999999999998E-3</v>
      </c>
      <c r="BA10" s="75">
        <f>AE10*0.041+0.096</f>
        <v>0.50800900000000004</v>
      </c>
      <c r="BB10" s="74">
        <f t="shared" si="12"/>
        <v>2.0320360000000003E-2</v>
      </c>
      <c r="BC10" s="75">
        <f>AE10*0.034-0.005</f>
        <v>0.33666600000000002</v>
      </c>
      <c r="BD10" s="74">
        <f t="shared" si="13"/>
        <v>1.346664E-2</v>
      </c>
      <c r="BE10" s="75">
        <f>AE10*0.064+0.043</f>
        <v>0.68613599999999997</v>
      </c>
      <c r="BF10" s="74">
        <f t="shared" si="14"/>
        <v>2.7445439999999998E-2</v>
      </c>
      <c r="BG10" s="75">
        <f>AE10*0.043+0.06</f>
        <v>0.49210699999999996</v>
      </c>
      <c r="BH10" s="74">
        <f t="shared" si="15"/>
        <v>1.9684279999999998E-2</v>
      </c>
      <c r="BI10" s="75">
        <f>AE10*0.02+0.019</f>
        <v>0.21997999999999998</v>
      </c>
      <c r="BJ10" s="74">
        <f t="shared" si="16"/>
        <v>8.7992000000000001E-3</v>
      </c>
      <c r="BK10" s="75">
        <f>AE10*0.061-0.12</f>
        <v>0.49298900000000001</v>
      </c>
      <c r="BL10" s="74">
        <f t="shared" si="17"/>
        <v>1.9719560000000001E-2</v>
      </c>
      <c r="BM10" s="75">
        <f>AE10*0.0324</f>
        <v>0.32558759999999998</v>
      </c>
      <c r="BN10" s="75">
        <f t="shared" si="51"/>
        <v>0.81857659999999999</v>
      </c>
      <c r="BO10" s="74">
        <f t="shared" si="19"/>
        <v>3.2743064000000002E-2</v>
      </c>
      <c r="BP10" s="75">
        <f>AE10*0.028+0.126</f>
        <v>0.40737200000000001</v>
      </c>
      <c r="BQ10" s="178">
        <f>AE10*0.038+0.036</f>
        <v>0.41786199999999996</v>
      </c>
      <c r="BR10" s="178">
        <f t="shared" si="52"/>
        <v>0.82523400000000002</v>
      </c>
      <c r="BS10" s="75">
        <v>7.0000000000000007E-2</v>
      </c>
      <c r="BT10" s="74">
        <f t="shared" si="21"/>
        <v>2.8000000000000004E-3</v>
      </c>
      <c r="BU10" s="75">
        <v>0.32379999999999998</v>
      </c>
      <c r="BV10" s="74">
        <f t="shared" si="22"/>
        <v>1.2951999999999998E-2</v>
      </c>
      <c r="BW10" s="75">
        <f>BU10*0.3</f>
        <v>9.713999999999999E-2</v>
      </c>
      <c r="BX10" s="74">
        <f t="shared" si="23"/>
        <v>3.8855999999999995E-3</v>
      </c>
      <c r="BY10" s="75">
        <v>0.1</v>
      </c>
      <c r="BZ10" s="74">
        <f t="shared" si="24"/>
        <v>4.0000000000000001E-3</v>
      </c>
      <c r="CA10" s="75">
        <v>0.01</v>
      </c>
      <c r="CB10" s="74">
        <f t="shared" si="25"/>
        <v>4.0000000000000002E-4</v>
      </c>
      <c r="CC10" s="75">
        <v>0.48</v>
      </c>
      <c r="CD10" s="74">
        <f t="shared" si="26"/>
        <v>1.9199999999999998E-2</v>
      </c>
      <c r="CE10" s="75">
        <v>0.11</v>
      </c>
      <c r="CF10" s="74">
        <f t="shared" si="27"/>
        <v>4.4000000000000003E-3</v>
      </c>
      <c r="CG10" s="75">
        <v>0.13</v>
      </c>
      <c r="CH10" s="74">
        <f t="shared" si="28"/>
        <v>5.1999999999999998E-3</v>
      </c>
      <c r="CI10" s="77">
        <f t="shared" si="53"/>
        <v>96.21</v>
      </c>
      <c r="CJ10" s="72">
        <f t="shared" si="30"/>
        <v>3.8483999999999998</v>
      </c>
      <c r="CK10" s="75">
        <v>1.008</v>
      </c>
      <c r="CL10" s="74">
        <f t="shared" si="31"/>
        <v>4.0320000000000002E-2</v>
      </c>
      <c r="CM10" s="75">
        <f>AG10*0.4155</f>
        <v>1.0350105000000001</v>
      </c>
      <c r="CN10" s="74">
        <f t="shared" si="32"/>
        <v>4.140042E-2</v>
      </c>
      <c r="CO10" s="75">
        <v>19.614999999999998</v>
      </c>
      <c r="CP10" s="74">
        <f t="shared" si="33"/>
        <v>0.78459999999999996</v>
      </c>
      <c r="CQ10" s="75">
        <v>5.9160000000000004</v>
      </c>
      <c r="CR10" s="74">
        <f t="shared" si="34"/>
        <v>0.23664000000000002</v>
      </c>
      <c r="CS10" s="75">
        <v>2.0019999999999998</v>
      </c>
      <c r="CT10" s="74">
        <f t="shared" si="35"/>
        <v>8.0079999999999985E-2</v>
      </c>
      <c r="CU10" s="75">
        <f t="shared" si="36"/>
        <v>69.328000000000003</v>
      </c>
      <c r="CV10" s="74">
        <f t="shared" si="37"/>
        <v>2.77312</v>
      </c>
      <c r="CW10" s="75"/>
      <c r="CX10" s="74"/>
      <c r="CY10" s="54">
        <v>0.48</v>
      </c>
      <c r="CZ10" s="74">
        <f t="shared" si="38"/>
        <v>1.9199999999999998E-2</v>
      </c>
      <c r="DA10" s="54">
        <v>5</v>
      </c>
      <c r="DB10" s="79">
        <f t="shared" si="39"/>
        <v>0.2</v>
      </c>
      <c r="DC10" s="78">
        <v>88.879000000000005</v>
      </c>
      <c r="DD10" s="74">
        <f t="shared" si="40"/>
        <v>3.5551600000000003</v>
      </c>
      <c r="DE10" s="179">
        <v>9.2579999999999991</v>
      </c>
      <c r="DF10" s="54">
        <v>-9.2579999999999991</v>
      </c>
      <c r="DG10" s="54"/>
      <c r="DH10" s="54"/>
      <c r="DI10" s="54"/>
      <c r="DJ10" s="54"/>
      <c r="DK10" s="54">
        <v>6.81</v>
      </c>
      <c r="DL10" s="162"/>
      <c r="DM10" s="34"/>
      <c r="DN10" s="34"/>
      <c r="DO10" s="34"/>
      <c r="DP10" s="34"/>
      <c r="DQ10" s="34"/>
    </row>
    <row r="11" spans="1:121" s="32" customFormat="1" x14ac:dyDescent="0.35">
      <c r="A11" s="34"/>
      <c r="B11" s="59">
        <v>18000</v>
      </c>
      <c r="C11" s="58">
        <f t="shared" si="54"/>
        <v>900</v>
      </c>
      <c r="D11" s="114" t="s">
        <v>13</v>
      </c>
      <c r="E11" s="119">
        <f t="shared" si="41"/>
        <v>49.99999999999951</v>
      </c>
      <c r="F11" s="119">
        <v>5</v>
      </c>
      <c r="G11" s="35"/>
      <c r="H11" s="212"/>
      <c r="I11" s="39">
        <v>5</v>
      </c>
      <c r="J11" s="97">
        <f t="shared" si="55"/>
        <v>0</v>
      </c>
      <c r="K11" s="98">
        <f t="shared" si="56"/>
        <v>5</v>
      </c>
      <c r="L11" s="34"/>
      <c r="M11" s="60" t="s">
        <v>43</v>
      </c>
      <c r="N11" s="61" t="s">
        <v>55</v>
      </c>
      <c r="O11" s="71">
        <v>0.9</v>
      </c>
      <c r="P11" s="71"/>
      <c r="Q11" s="106">
        <f t="shared" si="57"/>
        <v>0.9</v>
      </c>
      <c r="R11" s="97">
        <f t="shared" ref="R11" si="58">IF((P11)="",1000,(P11))</f>
        <v>1000</v>
      </c>
      <c r="S11" s="35"/>
      <c r="T11" s="63">
        <f>SUM(AR5:AR38)</f>
        <v>1.1877141165759828</v>
      </c>
      <c r="U11" s="34"/>
      <c r="V11" s="8"/>
      <c r="W11" s="71">
        <v>0.8</v>
      </c>
      <c r="X11" s="15"/>
      <c r="Y11" s="71"/>
      <c r="Z11" s="10"/>
      <c r="AA11" s="34"/>
      <c r="AB11" s="143" t="s">
        <v>13</v>
      </c>
      <c r="AC11" s="43">
        <v>2228</v>
      </c>
      <c r="AD11" s="42">
        <f t="shared" si="0"/>
        <v>111.4</v>
      </c>
      <c r="AE11" s="45">
        <v>45</v>
      </c>
      <c r="AF11" s="44">
        <f t="shared" si="1"/>
        <v>2.25</v>
      </c>
      <c r="AG11" s="47">
        <v>1.671</v>
      </c>
      <c r="AH11" s="46">
        <f t="shared" si="2"/>
        <v>8.3549999999999999E-2</v>
      </c>
      <c r="AI11" s="47">
        <v>1.671</v>
      </c>
      <c r="AJ11" s="46">
        <f t="shared" si="3"/>
        <v>8.3549999999999999E-2</v>
      </c>
      <c r="AK11" s="47">
        <v>0.56299999999999994</v>
      </c>
      <c r="AL11" s="46">
        <f t="shared" si="4"/>
        <v>2.8149999999999998E-2</v>
      </c>
      <c r="AM11" s="47">
        <v>4.5209999999999999</v>
      </c>
      <c r="AN11" s="46">
        <f t="shared" si="5"/>
        <v>0.22605</v>
      </c>
      <c r="AO11" s="47">
        <v>6.4749999999999996</v>
      </c>
      <c r="AP11" s="46">
        <f t="shared" si="6"/>
        <v>0.32374999999999998</v>
      </c>
      <c r="AQ11" s="47">
        <f>AE11*0.0605</f>
        <v>2.7225000000000001</v>
      </c>
      <c r="AR11" s="46">
        <f t="shared" si="7"/>
        <v>0.13612500000000002</v>
      </c>
      <c r="AS11" s="47">
        <f>AE11*0.0133</f>
        <v>0.59849999999999992</v>
      </c>
      <c r="AT11" s="46">
        <f t="shared" si="8"/>
        <v>2.9924999999999993E-2</v>
      </c>
      <c r="AU11" s="47">
        <f>AE11*0.0275</f>
        <v>1.2375</v>
      </c>
      <c r="AV11" s="46">
        <f t="shared" si="9"/>
        <v>6.1874999999999999E-2</v>
      </c>
      <c r="AW11" s="47">
        <f>AE11*0.036+0.143</f>
        <v>1.7629999999999999</v>
      </c>
      <c r="AX11" s="46">
        <f t="shared" si="10"/>
        <v>8.8150000000000006E-2</v>
      </c>
      <c r="AY11" s="47">
        <f>AE11*0.01+0.153</f>
        <v>0.60299999999999998</v>
      </c>
      <c r="AZ11" s="46">
        <f t="shared" si="11"/>
        <v>3.015E-2</v>
      </c>
      <c r="BA11" s="47">
        <f>AE11*0.061+0.525</f>
        <v>3.27</v>
      </c>
      <c r="BB11" s="46">
        <f t="shared" si="12"/>
        <v>0.16350000000000001</v>
      </c>
      <c r="BC11" s="47">
        <f>AE11*0.049-0.162</f>
        <v>2.0430000000000001</v>
      </c>
      <c r="BD11" s="46">
        <f t="shared" si="13"/>
        <v>0.10215</v>
      </c>
      <c r="BE11" s="47">
        <f>AE11*0.077-0.043</f>
        <v>3.4219999999999997</v>
      </c>
      <c r="BF11" s="46">
        <f t="shared" si="14"/>
        <v>0.1711</v>
      </c>
      <c r="BG11" s="47">
        <f>AE11*0.046+0.053</f>
        <v>2.1229999999999998</v>
      </c>
      <c r="BH11" s="46">
        <f t="shared" si="15"/>
        <v>0.10614999999999999</v>
      </c>
      <c r="BI11" s="47">
        <f>AE11*0.023+0.153</f>
        <v>1.1879999999999999</v>
      </c>
      <c r="BJ11" s="46">
        <f t="shared" si="16"/>
        <v>5.9400000000000001E-2</v>
      </c>
      <c r="BK11" s="47">
        <f>AE11*0.055-0.176</f>
        <v>2.2989999999999999</v>
      </c>
      <c r="BL11" s="46">
        <f t="shared" si="17"/>
        <v>0.11495</v>
      </c>
      <c r="BM11" s="47">
        <f>AE11*0.058-0.954</f>
        <v>1.6560000000000004</v>
      </c>
      <c r="BN11" s="47">
        <f>BK11+BM11</f>
        <v>3.9550000000000001</v>
      </c>
      <c r="BO11" s="46">
        <f t="shared" si="19"/>
        <v>0.19775000000000001</v>
      </c>
      <c r="BP11" s="47">
        <f>AE11*0.038+0.202</f>
        <v>1.9119999999999999</v>
      </c>
      <c r="BQ11" s="48">
        <f>AE11*0.049+0.03</f>
        <v>2.2349999999999999</v>
      </c>
      <c r="BR11" s="48">
        <f>BP11+BQ11</f>
        <v>4.1470000000000002</v>
      </c>
      <c r="BS11" s="47">
        <v>0.32</v>
      </c>
      <c r="BT11" s="46">
        <f t="shared" si="21"/>
        <v>1.6E-2</v>
      </c>
      <c r="BU11" s="47">
        <v>0.61399999999999999</v>
      </c>
      <c r="BV11" s="46">
        <f t="shared" si="22"/>
        <v>3.0699999999999998E-2</v>
      </c>
      <c r="BW11" s="47">
        <f>BU11*0.323</f>
        <v>0.198322</v>
      </c>
      <c r="BX11" s="46">
        <f t="shared" si="23"/>
        <v>9.9161000000000006E-3</v>
      </c>
      <c r="BY11" s="47">
        <v>0.28999999999999998</v>
      </c>
      <c r="BZ11" s="46">
        <f t="shared" si="24"/>
        <v>1.4499999999999999E-2</v>
      </c>
      <c r="CA11" s="47">
        <v>0.02</v>
      </c>
      <c r="CB11" s="46">
        <f t="shared" si="25"/>
        <v>1E-3</v>
      </c>
      <c r="CC11" s="47">
        <v>2.0499999999999998</v>
      </c>
      <c r="CD11" s="46">
        <f t="shared" si="26"/>
        <v>0.10249999999999998</v>
      </c>
      <c r="CE11" s="47">
        <v>0.04</v>
      </c>
      <c r="CF11" s="46">
        <f t="shared" si="27"/>
        <v>2E-3</v>
      </c>
      <c r="CG11" s="47">
        <v>0.4</v>
      </c>
      <c r="CH11" s="46">
        <f t="shared" si="28"/>
        <v>0.02</v>
      </c>
      <c r="CI11" s="43">
        <f t="shared" si="53"/>
        <v>522.22</v>
      </c>
      <c r="CJ11" s="42">
        <f t="shared" si="30"/>
        <v>26.111000000000001</v>
      </c>
      <c r="CK11" s="47">
        <v>2.7890000000000001</v>
      </c>
      <c r="CL11" s="46">
        <f t="shared" si="31"/>
        <v>0.13945000000000002</v>
      </c>
      <c r="CM11" s="47">
        <f>AG11*0.39825</f>
        <v>0.66547575000000003</v>
      </c>
      <c r="CN11" s="46">
        <f t="shared" si="32"/>
        <v>3.3273787499999999E-2</v>
      </c>
      <c r="CO11" s="47">
        <v>10.161</v>
      </c>
      <c r="CP11" s="46">
        <f t="shared" si="33"/>
        <v>0.50805</v>
      </c>
      <c r="CQ11" s="47">
        <v>6.1749999999999998</v>
      </c>
      <c r="CR11" s="46">
        <f t="shared" si="34"/>
        <v>0.30874999999999997</v>
      </c>
      <c r="CS11" s="47">
        <v>8.9390000000000001</v>
      </c>
      <c r="CT11" s="46">
        <f t="shared" si="35"/>
        <v>0.44694999999999996</v>
      </c>
      <c r="CU11" s="47">
        <f t="shared" si="36"/>
        <v>31.22</v>
      </c>
      <c r="CV11" s="46">
        <f t="shared" si="37"/>
        <v>1.5609999999999999</v>
      </c>
      <c r="CW11" s="47"/>
      <c r="CX11" s="46"/>
      <c r="CY11" s="28">
        <v>0.5</v>
      </c>
      <c r="CZ11" s="46">
        <f t="shared" si="38"/>
        <v>2.5000000000000001E-2</v>
      </c>
      <c r="DA11" s="28">
        <v>4</v>
      </c>
      <c r="DB11" s="35">
        <f t="shared" si="39"/>
        <v>0.2</v>
      </c>
      <c r="DC11" s="45">
        <v>88.887</v>
      </c>
      <c r="DD11" s="46">
        <f t="shared" si="40"/>
        <v>4.44435</v>
      </c>
      <c r="DE11" s="145"/>
      <c r="DF11" s="28"/>
      <c r="DG11" s="28">
        <v>15.69</v>
      </c>
      <c r="DH11" s="28">
        <v>19.41</v>
      </c>
      <c r="DI11" s="28"/>
      <c r="DJ11" s="28">
        <v>6.2359999999999998</v>
      </c>
      <c r="DK11" s="28"/>
      <c r="DL11" s="39"/>
      <c r="DM11" s="34"/>
      <c r="DN11" s="34"/>
      <c r="DO11" s="34"/>
      <c r="DP11" s="34"/>
      <c r="DQ11" s="34"/>
    </row>
    <row r="12" spans="1:121" s="32" customFormat="1" x14ac:dyDescent="0.35">
      <c r="A12" s="34"/>
      <c r="B12" s="23">
        <v>52000</v>
      </c>
      <c r="C12" s="38">
        <f t="shared" si="54"/>
        <v>3312.7742936884497</v>
      </c>
      <c r="D12" s="113" t="s">
        <v>14</v>
      </c>
      <c r="E12" s="161">
        <f t="shared" si="41"/>
        <v>63.707197955546484</v>
      </c>
      <c r="F12" s="120">
        <v>6.3707197955547112</v>
      </c>
      <c r="G12" s="36"/>
      <c r="H12" s="213"/>
      <c r="I12" s="87"/>
      <c r="J12" s="99">
        <f t="shared" si="55"/>
        <v>0</v>
      </c>
      <c r="K12" s="100">
        <f t="shared" si="56"/>
        <v>100</v>
      </c>
      <c r="L12" s="34"/>
      <c r="M12" s="1" t="s">
        <v>160</v>
      </c>
      <c r="N12" s="27" t="s">
        <v>55</v>
      </c>
      <c r="O12" s="12">
        <f>O11*0.52</f>
        <v>0.46800000000000003</v>
      </c>
      <c r="P12" s="12"/>
      <c r="Q12" s="118">
        <f t="shared" si="57"/>
        <v>0.46800000000000003</v>
      </c>
      <c r="R12" s="163">
        <f t="shared" ref="R12" si="59">IF((P12)="",1000,(P12))</f>
        <v>1000</v>
      </c>
      <c r="S12" s="36"/>
      <c r="T12" s="2">
        <f>SUM(AT5:AT38)</f>
        <v>0.51394382894295054</v>
      </c>
      <c r="U12" s="200"/>
      <c r="V12" s="8"/>
      <c r="W12" s="12">
        <f>W11*0.52</f>
        <v>0.41600000000000004</v>
      </c>
      <c r="X12" s="15"/>
      <c r="Y12" s="12"/>
      <c r="Z12" s="10"/>
      <c r="AA12" s="200"/>
      <c r="AB12" s="144" t="s">
        <v>14</v>
      </c>
      <c r="AC12" s="49">
        <v>3717</v>
      </c>
      <c r="AD12" s="72">
        <f t="shared" si="0"/>
        <v>236.79965480076862</v>
      </c>
      <c r="AE12" s="50">
        <v>57.561999999999998</v>
      </c>
      <c r="AF12" s="73">
        <f t="shared" si="1"/>
        <v>3.6671137287172031</v>
      </c>
      <c r="AG12" s="75">
        <v>5.3280000000000003</v>
      </c>
      <c r="AH12" s="74">
        <f t="shared" si="2"/>
        <v>0.33943195070715504</v>
      </c>
      <c r="AI12" s="75">
        <v>5.3280000000000003</v>
      </c>
      <c r="AJ12" s="74">
        <f t="shared" si="3"/>
        <v>0.33943195070715504</v>
      </c>
      <c r="AK12" s="75">
        <v>13.659000000000001</v>
      </c>
      <c r="AL12" s="74">
        <f t="shared" si="4"/>
        <v>0.87017661687481807</v>
      </c>
      <c r="AM12" s="51">
        <v>0.78700000000000003</v>
      </c>
      <c r="AN12" s="74">
        <f t="shared" si="5"/>
        <v>5.0137564791015582E-2</v>
      </c>
      <c r="AO12" s="75">
        <v>2.0920000000000001</v>
      </c>
      <c r="AP12" s="74">
        <f t="shared" si="6"/>
        <v>0.13327545812300456</v>
      </c>
      <c r="AQ12" s="51">
        <f>AE12*0.0167</f>
        <v>0.96128539999999996</v>
      </c>
      <c r="AR12" s="131">
        <f t="shared" si="7"/>
        <v>6.1240799269577283E-2</v>
      </c>
      <c r="AS12" s="51">
        <f>AE12*0.024-0.003</f>
        <v>1.3784880000000002</v>
      </c>
      <c r="AT12" s="131">
        <f t="shared" si="8"/>
        <v>8.7819607895346236E-2</v>
      </c>
      <c r="AU12" s="51">
        <f>AE12*0.038+0.218</f>
        <v>2.4053559999999998</v>
      </c>
      <c r="AV12" s="131">
        <f t="shared" si="9"/>
        <v>0.15323849084556296</v>
      </c>
      <c r="AW12" s="51">
        <f>AE12*0.031+0.117</f>
        <v>1.9014219999999999</v>
      </c>
      <c r="AX12" s="131">
        <f t="shared" si="10"/>
        <v>0.1211342677510323</v>
      </c>
      <c r="AY12" s="51">
        <f>AE12*0.005477</f>
        <v>0.31526707399999998</v>
      </c>
      <c r="AZ12" s="131">
        <f t="shared" si="11"/>
        <v>2.0084781892184118E-2</v>
      </c>
      <c r="BA12" s="51">
        <f>AE12*0.025+0.391</f>
        <v>1.83005</v>
      </c>
      <c r="BB12" s="131">
        <f t="shared" si="12"/>
        <v>0.11658735761854899</v>
      </c>
      <c r="BC12" s="51">
        <f>AE12*0.042-0.161</f>
        <v>2.2566039999999998</v>
      </c>
      <c r="BD12" s="131">
        <f t="shared" si="13"/>
        <v>0.14376191773527944</v>
      </c>
      <c r="BE12" s="51">
        <f>AE12*0.19-1.753</f>
        <v>9.1837799999999987</v>
      </c>
      <c r="BF12" s="131">
        <f t="shared" si="14"/>
        <v>0.58507289044019439</v>
      </c>
      <c r="BG12" s="51">
        <f>AE12*0.041+0.246</f>
        <v>2.606042</v>
      </c>
      <c r="BH12" s="131">
        <f t="shared" si="15"/>
        <v>0.16602363357446992</v>
      </c>
      <c r="BI12" s="51">
        <f>AE12*0.014+0.373</f>
        <v>1.178868</v>
      </c>
      <c r="BJ12" s="131">
        <f t="shared" si="16"/>
        <v>7.5102377039459919E-2</v>
      </c>
      <c r="BK12" s="51">
        <f>AE12*0.072-0.619</f>
        <v>3.5254639999999995</v>
      </c>
      <c r="BL12" s="131">
        <f t="shared" si="17"/>
        <v>0.22459743293315493</v>
      </c>
      <c r="BM12" s="51">
        <f>AE12*0.0523</f>
        <v>3.0104925999999996</v>
      </c>
      <c r="BN12" s="51">
        <f t="shared" ref="BN12:BN13" si="60">BK12+BM12</f>
        <v>6.5359565999999987</v>
      </c>
      <c r="BO12" s="131">
        <f t="shared" si="19"/>
        <v>0.4163874809450645</v>
      </c>
      <c r="BP12" s="51">
        <f>AE12*0.02+0.477</f>
        <v>1.6282399999999999</v>
      </c>
      <c r="BQ12" s="52">
        <f>AE12*0.054-0.217</f>
        <v>2.8913479999999998</v>
      </c>
      <c r="BR12" s="52">
        <f t="shared" ref="BR12:BR13" si="61">BP12+BQ12</f>
        <v>4.5195879999999997</v>
      </c>
      <c r="BS12" s="51">
        <v>0.03</v>
      </c>
      <c r="BT12" s="74">
        <f t="shared" si="21"/>
        <v>1.9112159386664132E-3</v>
      </c>
      <c r="BU12" s="51">
        <v>0.46710000000000002</v>
      </c>
      <c r="BV12" s="74">
        <f t="shared" si="22"/>
        <v>2.9757632165036053E-2</v>
      </c>
      <c r="BW12" s="51">
        <f>BU12*0.2</f>
        <v>9.3420000000000003E-2</v>
      </c>
      <c r="BX12" s="74">
        <f t="shared" si="23"/>
        <v>5.9515264330072112E-3</v>
      </c>
      <c r="BY12" s="75">
        <v>0.08</v>
      </c>
      <c r="BZ12" s="74">
        <f t="shared" si="24"/>
        <v>5.0965758364437692E-3</v>
      </c>
      <c r="CA12" s="75">
        <v>0.03</v>
      </c>
      <c r="CB12" s="74">
        <f t="shared" si="25"/>
        <v>1.9112159386664132E-3</v>
      </c>
      <c r="CC12" s="75">
        <v>0.14000000000000001</v>
      </c>
      <c r="CD12" s="74">
        <f t="shared" si="26"/>
        <v>8.9190077137765965E-3</v>
      </c>
      <c r="CE12" s="75">
        <v>7.0000000000000007E-2</v>
      </c>
      <c r="CF12" s="74">
        <f t="shared" si="27"/>
        <v>4.4595038568882982E-3</v>
      </c>
      <c r="CG12" s="75">
        <v>0.57999999999999996</v>
      </c>
      <c r="CH12" s="74">
        <f t="shared" si="28"/>
        <v>3.6950174814217321E-2</v>
      </c>
      <c r="CI12" s="77">
        <f t="shared" ref="CI12:CI13" si="62">(CA12*435)+(CC12*256)-(CE12*282)</f>
        <v>29.15</v>
      </c>
      <c r="CJ12" s="72">
        <f t="shared" si="30"/>
        <v>1.8570648204041982</v>
      </c>
      <c r="CK12" s="75">
        <v>0.35699999999999998</v>
      </c>
      <c r="CL12" s="74">
        <f t="shared" si="31"/>
        <v>2.2743469670130318E-2</v>
      </c>
      <c r="CM12" s="75">
        <f>AG12*0.452</f>
        <v>2.4082560000000002</v>
      </c>
      <c r="CN12" s="74">
        <f t="shared" si="32"/>
        <v>0.15342324171963409</v>
      </c>
      <c r="CO12" s="75">
        <v>8.4930000000000003</v>
      </c>
      <c r="CP12" s="74">
        <f t="shared" si="33"/>
        <v>0.54106523223646164</v>
      </c>
      <c r="CQ12" s="75">
        <v>6.2789999999999999</v>
      </c>
      <c r="CR12" s="74">
        <f t="shared" si="34"/>
        <v>0.40001749596288033</v>
      </c>
      <c r="CS12" s="51">
        <v>0.46</v>
      </c>
      <c r="CT12" s="131">
        <f t="shared" si="35"/>
        <v>2.930531105955167E-2</v>
      </c>
      <c r="CU12" s="51">
        <f t="shared" si="36"/>
        <v>26.964999999999989</v>
      </c>
      <c r="CV12" s="131">
        <f t="shared" si="37"/>
        <v>1.7178645928713272</v>
      </c>
      <c r="CW12" s="51"/>
      <c r="CX12" s="131"/>
      <c r="CY12" s="29">
        <v>0.48</v>
      </c>
      <c r="CZ12" s="74">
        <f t="shared" si="38"/>
        <v>3.0579455018662612E-2</v>
      </c>
      <c r="DA12" s="54">
        <v>4</v>
      </c>
      <c r="DB12" s="79">
        <f t="shared" si="39"/>
        <v>0.25482879182218843</v>
      </c>
      <c r="DC12" s="50">
        <v>92.733999999999995</v>
      </c>
      <c r="DD12" s="74">
        <f t="shared" si="40"/>
        <v>5.9078232952097052</v>
      </c>
      <c r="DE12" s="146"/>
      <c r="DF12" s="29"/>
      <c r="DG12" s="29">
        <v>17.13</v>
      </c>
      <c r="DH12" s="29">
        <v>36.89</v>
      </c>
      <c r="DI12" s="29"/>
      <c r="DJ12" s="29">
        <v>13.86</v>
      </c>
      <c r="DK12" s="29"/>
      <c r="DL12" s="87"/>
      <c r="DM12" s="34"/>
      <c r="DN12" s="34"/>
      <c r="DO12" s="34"/>
      <c r="DP12" s="34"/>
      <c r="DQ12" s="34"/>
    </row>
    <row r="13" spans="1:121" s="32" customFormat="1" x14ac:dyDescent="0.35">
      <c r="A13" s="34"/>
      <c r="B13" s="59">
        <v>80000</v>
      </c>
      <c r="C13" s="58">
        <f t="shared" si="54"/>
        <v>0</v>
      </c>
      <c r="D13" s="114" t="s">
        <v>97</v>
      </c>
      <c r="E13" s="119">
        <f t="shared" si="41"/>
        <v>0</v>
      </c>
      <c r="F13" s="119">
        <v>0</v>
      </c>
      <c r="G13" s="35"/>
      <c r="H13" s="212"/>
      <c r="I13" s="39"/>
      <c r="J13" s="97">
        <f t="shared" si="55"/>
        <v>0</v>
      </c>
      <c r="K13" s="98">
        <f t="shared" si="56"/>
        <v>100</v>
      </c>
      <c r="L13" s="34"/>
      <c r="M13" s="60" t="s">
        <v>50</v>
      </c>
      <c r="N13" s="61" t="s">
        <v>55</v>
      </c>
      <c r="O13" s="71">
        <f>O11*1.03</f>
        <v>0.92700000000000005</v>
      </c>
      <c r="P13" s="71"/>
      <c r="Q13" s="106">
        <f t="shared" si="57"/>
        <v>0.92700000000000005</v>
      </c>
      <c r="R13" s="97">
        <f t="shared" ref="R13:R18" si="63">IF((P13)="",1000,(P13))</f>
        <v>1000</v>
      </c>
      <c r="S13" s="35"/>
      <c r="T13" s="63">
        <f>SUM(AV5:AV38)</f>
        <v>0.92700000000000027</v>
      </c>
      <c r="U13" s="200"/>
      <c r="V13" s="8"/>
      <c r="W13" s="71">
        <f>W11*1.03</f>
        <v>0.82400000000000007</v>
      </c>
      <c r="X13" s="15"/>
      <c r="Y13" s="71"/>
      <c r="Z13" s="10"/>
      <c r="AA13" s="200"/>
      <c r="AB13" s="143" t="s">
        <v>97</v>
      </c>
      <c r="AC13" s="43">
        <v>2943</v>
      </c>
      <c r="AD13" s="42">
        <f t="shared" si="0"/>
        <v>0</v>
      </c>
      <c r="AE13" s="45">
        <v>63.377000000000002</v>
      </c>
      <c r="AF13" s="44">
        <f t="shared" si="1"/>
        <v>0</v>
      </c>
      <c r="AG13" s="47">
        <v>2.95</v>
      </c>
      <c r="AH13" s="46">
        <f t="shared" si="2"/>
        <v>0</v>
      </c>
      <c r="AI13" s="47">
        <v>2.95</v>
      </c>
      <c r="AJ13" s="46">
        <f t="shared" si="3"/>
        <v>0</v>
      </c>
      <c r="AK13" s="47">
        <v>7.87</v>
      </c>
      <c r="AL13" s="46">
        <f t="shared" si="4"/>
        <v>0</v>
      </c>
      <c r="AM13" s="47">
        <v>0.47</v>
      </c>
      <c r="AN13" s="46">
        <f t="shared" si="5"/>
        <v>0</v>
      </c>
      <c r="AO13" s="47">
        <v>0.96</v>
      </c>
      <c r="AP13" s="46">
        <f t="shared" si="6"/>
        <v>0</v>
      </c>
      <c r="AQ13" s="47">
        <f>AE13*0.0159</f>
        <v>1.0076943</v>
      </c>
      <c r="AR13" s="46">
        <f t="shared" si="7"/>
        <v>0</v>
      </c>
      <c r="AS13" s="47">
        <f>AE13*0.012+0.229</f>
        <v>0.98952400000000007</v>
      </c>
      <c r="AT13" s="46">
        <f t="shared" si="8"/>
        <v>0</v>
      </c>
      <c r="AU13" s="47">
        <f>AE13*0.0361</f>
        <v>2.2879097000000002</v>
      </c>
      <c r="AV13" s="46">
        <f t="shared" si="9"/>
        <v>0</v>
      </c>
      <c r="AW13" s="47">
        <f>AE13*0.016+0.644</f>
        <v>1.658032</v>
      </c>
      <c r="AX13" s="46">
        <f t="shared" si="10"/>
        <v>0</v>
      </c>
      <c r="AY13" s="47">
        <f>AE13*0.007+0.216</f>
        <v>0.65963899999999998</v>
      </c>
      <c r="AZ13" s="46">
        <f t="shared" si="11"/>
        <v>0</v>
      </c>
      <c r="BA13" s="47">
        <f>AE13*0.0344</f>
        <v>2.1801688000000001</v>
      </c>
      <c r="BB13" s="46">
        <f t="shared" si="12"/>
        <v>0</v>
      </c>
      <c r="BC13" s="47">
        <f>AE13*0.031+ 0.344</f>
        <v>2.3086869999999999</v>
      </c>
      <c r="BD13" s="46">
        <f t="shared" si="13"/>
        <v>0</v>
      </c>
      <c r="BE13" s="47">
        <f>AE13*0.052+1.184</f>
        <v>4.4796040000000001</v>
      </c>
      <c r="BF13" s="46">
        <f t="shared" si="14"/>
        <v>0</v>
      </c>
      <c r="BG13" s="47">
        <f>AE13*0.03+0.625</f>
        <v>2.5263100000000001</v>
      </c>
      <c r="BH13" s="46">
        <f t="shared" si="15"/>
        <v>0</v>
      </c>
      <c r="BI13" s="47">
        <f>AE13*0.015+0.38</f>
        <v>1.3306550000000001</v>
      </c>
      <c r="BJ13" s="46">
        <f t="shared" si="16"/>
        <v>0</v>
      </c>
      <c r="BK13" s="47">
        <f>AE13*0.047+0.222</f>
        <v>3.2007190000000003</v>
      </c>
      <c r="BL13" s="46">
        <f t="shared" si="17"/>
        <v>0</v>
      </c>
      <c r="BM13" s="47">
        <f>AE13*0.0373</f>
        <v>2.3639621000000002</v>
      </c>
      <c r="BN13" s="47">
        <f t="shared" si="60"/>
        <v>5.5646811000000005</v>
      </c>
      <c r="BO13" s="46">
        <f t="shared" si="19"/>
        <v>0</v>
      </c>
      <c r="BP13" s="47">
        <f>AE13*0.028+0.35</f>
        <v>2.1245560000000001</v>
      </c>
      <c r="BQ13" s="48">
        <f>AE13*0.037+0.701</f>
        <v>3.0459490000000002</v>
      </c>
      <c r="BR13" s="48">
        <f t="shared" si="61"/>
        <v>5.1705050000000004</v>
      </c>
      <c r="BS13" s="47">
        <v>0.06</v>
      </c>
      <c r="BT13" s="46">
        <f t="shared" si="21"/>
        <v>0</v>
      </c>
      <c r="BU13" s="47">
        <v>0.17</v>
      </c>
      <c r="BV13" s="46">
        <f t="shared" si="22"/>
        <v>0</v>
      </c>
      <c r="BW13" s="47">
        <f>BU13*0.31</f>
        <v>5.2700000000000004E-2</v>
      </c>
      <c r="BX13" s="46">
        <f t="shared" si="23"/>
        <v>0</v>
      </c>
      <c r="BY13" s="47">
        <v>0.04</v>
      </c>
      <c r="BZ13" s="46">
        <f t="shared" si="24"/>
        <v>0</v>
      </c>
      <c r="CA13" s="47">
        <v>0.09</v>
      </c>
      <c r="CB13" s="46">
        <f t="shared" si="25"/>
        <v>0</v>
      </c>
      <c r="CC13" s="47">
        <v>0.09</v>
      </c>
      <c r="CD13" s="46">
        <f t="shared" si="26"/>
        <v>0</v>
      </c>
      <c r="CE13" s="47">
        <v>0.11</v>
      </c>
      <c r="CF13" s="46">
        <f t="shared" si="27"/>
        <v>0</v>
      </c>
      <c r="CG13" s="47">
        <v>0.65</v>
      </c>
      <c r="CH13" s="46">
        <f t="shared" si="28"/>
        <v>0</v>
      </c>
      <c r="CI13" s="43">
        <f t="shared" si="62"/>
        <v>31.169999999999998</v>
      </c>
      <c r="CJ13" s="42">
        <f t="shared" si="30"/>
        <v>0</v>
      </c>
      <c r="CK13" s="47">
        <v>0</v>
      </c>
      <c r="CL13" s="46">
        <f t="shared" si="31"/>
        <v>0</v>
      </c>
      <c r="CM13" s="47">
        <f>AG13*0.3701</f>
        <v>1.0917950000000001</v>
      </c>
      <c r="CN13" s="46">
        <f t="shared" si="32"/>
        <v>0</v>
      </c>
      <c r="CO13" s="47">
        <v>36.840000000000003</v>
      </c>
      <c r="CP13" s="46">
        <f t="shared" si="33"/>
        <v>0</v>
      </c>
      <c r="CQ13" s="47">
        <v>3.35</v>
      </c>
      <c r="CR13" s="46">
        <f t="shared" si="34"/>
        <v>0</v>
      </c>
      <c r="CS13" s="47">
        <v>1.35</v>
      </c>
      <c r="CT13" s="46">
        <f t="shared" si="35"/>
        <v>0</v>
      </c>
      <c r="CU13" s="47">
        <f t="shared" si="36"/>
        <v>25.301000000000016</v>
      </c>
      <c r="CV13" s="46">
        <f t="shared" si="37"/>
        <v>0</v>
      </c>
      <c r="CW13" s="47"/>
      <c r="CX13" s="46"/>
      <c r="CY13" s="28">
        <v>0.6</v>
      </c>
      <c r="CZ13" s="46">
        <f t="shared" si="38"/>
        <v>0</v>
      </c>
      <c r="DA13" s="28">
        <v>35</v>
      </c>
      <c r="DB13" s="35">
        <f t="shared" si="39"/>
        <v>0</v>
      </c>
      <c r="DC13" s="45">
        <v>93.058000000000007</v>
      </c>
      <c r="DD13" s="46">
        <f t="shared" si="40"/>
        <v>0</v>
      </c>
      <c r="DE13" s="145"/>
      <c r="DF13" s="28"/>
      <c r="DG13" s="28">
        <v>15.51</v>
      </c>
      <c r="DH13" s="28">
        <v>34.31</v>
      </c>
      <c r="DI13" s="28"/>
      <c r="DJ13" s="28"/>
      <c r="DK13" s="28">
        <v>16.690000000000001</v>
      </c>
      <c r="DL13" s="39">
        <v>13.01</v>
      </c>
      <c r="DM13" s="34"/>
      <c r="DN13" s="34"/>
      <c r="DO13" s="34"/>
      <c r="DP13" s="34"/>
      <c r="DQ13" s="34"/>
    </row>
    <row r="14" spans="1:121" s="32" customFormat="1" x14ac:dyDescent="0.35">
      <c r="A14" s="34"/>
      <c r="B14" s="23">
        <v>25000</v>
      </c>
      <c r="C14" s="38">
        <f t="shared" si="54"/>
        <v>0</v>
      </c>
      <c r="D14" s="113" t="s">
        <v>98</v>
      </c>
      <c r="E14" s="161">
        <f t="shared" si="41"/>
        <v>0</v>
      </c>
      <c r="F14" s="120">
        <v>0</v>
      </c>
      <c r="G14" s="36"/>
      <c r="H14" s="213"/>
      <c r="I14" s="87">
        <v>0</v>
      </c>
      <c r="J14" s="99">
        <f t="shared" si="55"/>
        <v>0</v>
      </c>
      <c r="K14" s="100">
        <f t="shared" si="56"/>
        <v>0</v>
      </c>
      <c r="L14" s="34"/>
      <c r="M14" s="88" t="s">
        <v>72</v>
      </c>
      <c r="N14" s="89" t="s">
        <v>55</v>
      </c>
      <c r="O14" s="12">
        <f>O11*0.76</f>
        <v>0.68400000000000005</v>
      </c>
      <c r="P14" s="12"/>
      <c r="Q14" s="118">
        <f t="shared" si="57"/>
        <v>0.68400000000000005</v>
      </c>
      <c r="R14" s="163">
        <f t="shared" si="63"/>
        <v>1000</v>
      </c>
      <c r="S14" s="79"/>
      <c r="T14" s="86">
        <f>SUM(AX5:AX38)</f>
        <v>0.92352460020318206</v>
      </c>
      <c r="U14" s="200"/>
      <c r="V14" s="8"/>
      <c r="W14" s="12">
        <f>W11*0.76</f>
        <v>0.6080000000000001</v>
      </c>
      <c r="X14" s="15"/>
      <c r="Y14" s="12"/>
      <c r="Z14" s="10"/>
      <c r="AA14" s="200"/>
      <c r="AB14" s="144" t="s">
        <v>98</v>
      </c>
      <c r="AC14" s="49">
        <v>3459</v>
      </c>
      <c r="AD14" s="72">
        <f t="shared" si="0"/>
        <v>0</v>
      </c>
      <c r="AE14" s="50">
        <v>34.634</v>
      </c>
      <c r="AF14" s="73">
        <f t="shared" si="1"/>
        <v>0</v>
      </c>
      <c r="AG14" s="75">
        <v>18.672000000000001</v>
      </c>
      <c r="AH14" s="74">
        <f t="shared" si="2"/>
        <v>0</v>
      </c>
      <c r="AI14" s="75">
        <v>18.672000000000001</v>
      </c>
      <c r="AJ14" s="74">
        <f t="shared" si="3"/>
        <v>0</v>
      </c>
      <c r="AK14" s="75">
        <v>0.57199999999999995</v>
      </c>
      <c r="AL14" s="74">
        <f t="shared" si="4"/>
        <v>0</v>
      </c>
      <c r="AM14" s="51">
        <v>5.2060000000000004</v>
      </c>
      <c r="AN14" s="74">
        <f t="shared" si="5"/>
        <v>0</v>
      </c>
      <c r="AO14" s="75">
        <v>5.0709999999999997</v>
      </c>
      <c r="AP14" s="74">
        <f t="shared" si="6"/>
        <v>0</v>
      </c>
      <c r="AQ14" s="51">
        <f>AE14*0.049+0.468</f>
        <v>2.1650660000000004</v>
      </c>
      <c r="AR14" s="131">
        <f t="shared" si="7"/>
        <v>0</v>
      </c>
      <c r="AS14" s="51">
        <f>AE14*0.0135</f>
        <v>0.467559</v>
      </c>
      <c r="AT14" s="131">
        <f t="shared" si="8"/>
        <v>0</v>
      </c>
      <c r="AU14" s="51">
        <f>AE14*0.029</f>
        <v>1.004386</v>
      </c>
      <c r="AV14" s="131">
        <f t="shared" si="9"/>
        <v>0</v>
      </c>
      <c r="AW14" s="51">
        <f>AE14*0.029+0.346</f>
        <v>1.3503859999999999</v>
      </c>
      <c r="AX14" s="131">
        <f t="shared" si="10"/>
        <v>0</v>
      </c>
      <c r="AY14" s="51">
        <f>AE14*0.009+0.162</f>
        <v>0.47370599999999996</v>
      </c>
      <c r="AZ14" s="131">
        <f t="shared" si="11"/>
        <v>0</v>
      </c>
      <c r="BA14" s="51">
        <f>AE14*0.084-0.374</f>
        <v>2.535256</v>
      </c>
      <c r="BB14" s="131">
        <f t="shared" si="12"/>
        <v>0</v>
      </c>
      <c r="BC14" s="51">
        <f>AE14*0.043+0.086</f>
        <v>1.5752619999999999</v>
      </c>
      <c r="BD14" s="131">
        <f t="shared" si="13"/>
        <v>0</v>
      </c>
      <c r="BE14" s="51">
        <f>AE14*0.072+0.138</f>
        <v>2.6316479999999998</v>
      </c>
      <c r="BF14" s="131">
        <f t="shared" si="14"/>
        <v>0</v>
      </c>
      <c r="BG14" s="51">
        <f>AE14*0.041+0.228</f>
        <v>1.647994</v>
      </c>
      <c r="BH14" s="131">
        <f t="shared" si="15"/>
        <v>0</v>
      </c>
      <c r="BI14" s="51">
        <f>AE14*0.022+0.138</f>
        <v>0.89994799999999997</v>
      </c>
      <c r="BJ14" s="131">
        <f t="shared" si="16"/>
        <v>0</v>
      </c>
      <c r="BK14" s="51">
        <f>AE14*0.053-0.103</f>
        <v>1.732602</v>
      </c>
      <c r="BL14" s="131">
        <f t="shared" si="17"/>
        <v>0</v>
      </c>
      <c r="BM14" s="51">
        <f>AE14*0.0385</f>
        <v>1.3334090000000001</v>
      </c>
      <c r="BN14" s="51">
        <f>BK14+BM14</f>
        <v>3.066011</v>
      </c>
      <c r="BO14" s="131">
        <f t="shared" si="19"/>
        <v>0</v>
      </c>
      <c r="BP14" s="51">
        <f>AE14*0.036+0.233</f>
        <v>1.479824</v>
      </c>
      <c r="BQ14" s="52">
        <f>AE14*0.048+0.087</f>
        <v>1.7494320000000001</v>
      </c>
      <c r="BR14" s="52">
        <f>BP14+BQ14</f>
        <v>3.2292560000000003</v>
      </c>
      <c r="BS14" s="51">
        <v>0.31</v>
      </c>
      <c r="BT14" s="74">
        <f t="shared" si="21"/>
        <v>0</v>
      </c>
      <c r="BU14" s="75">
        <v>0.4708</v>
      </c>
      <c r="BV14" s="74">
        <f t="shared" si="22"/>
        <v>0</v>
      </c>
      <c r="BW14" s="75">
        <f>BU14*0.323</f>
        <v>0.15206839999999999</v>
      </c>
      <c r="BX14" s="74">
        <f t="shared" si="23"/>
        <v>0</v>
      </c>
      <c r="BY14" s="75">
        <v>0.21</v>
      </c>
      <c r="BZ14" s="74">
        <f t="shared" si="24"/>
        <v>0</v>
      </c>
      <c r="CA14" s="75">
        <v>0.08</v>
      </c>
      <c r="CB14" s="74">
        <f t="shared" si="25"/>
        <v>0</v>
      </c>
      <c r="CC14" s="75">
        <v>1.85</v>
      </c>
      <c r="CD14" s="74">
        <f t="shared" si="26"/>
        <v>0</v>
      </c>
      <c r="CE14" s="75">
        <v>0.04</v>
      </c>
      <c r="CF14" s="74">
        <f t="shared" si="27"/>
        <v>0</v>
      </c>
      <c r="CG14" s="75">
        <v>0.28000000000000003</v>
      </c>
      <c r="CH14" s="74">
        <f t="shared" si="28"/>
        <v>0</v>
      </c>
      <c r="CI14" s="77">
        <f>(CA14*435)+(CC14*256)-(CE14*282)</f>
        <v>497.12000000000006</v>
      </c>
      <c r="CJ14" s="72">
        <f t="shared" si="30"/>
        <v>0</v>
      </c>
      <c r="CK14" s="75">
        <v>2.1190000000000002</v>
      </c>
      <c r="CL14" s="74">
        <f t="shared" si="31"/>
        <v>0</v>
      </c>
      <c r="CM14" s="75">
        <f>AG14*0.50445</f>
        <v>9.4190904</v>
      </c>
      <c r="CN14" s="74">
        <f t="shared" si="32"/>
        <v>0</v>
      </c>
      <c r="CO14" s="75">
        <v>11.09</v>
      </c>
      <c r="CP14" s="74">
        <f t="shared" si="33"/>
        <v>0</v>
      </c>
      <c r="CQ14" s="75">
        <v>7.0330000000000004</v>
      </c>
      <c r="CR14" s="74">
        <f t="shared" si="34"/>
        <v>0</v>
      </c>
      <c r="CS14" s="51">
        <v>7.4080000000000004</v>
      </c>
      <c r="CT14" s="131">
        <f t="shared" si="35"/>
        <v>0</v>
      </c>
      <c r="CU14" s="51">
        <f t="shared" si="36"/>
        <v>26.849000000000004</v>
      </c>
      <c r="CV14" s="131">
        <f t="shared" si="37"/>
        <v>0</v>
      </c>
      <c r="CW14" s="51"/>
      <c r="CX14" s="131"/>
      <c r="CY14" s="29">
        <v>0.48</v>
      </c>
      <c r="CZ14" s="74">
        <f t="shared" si="38"/>
        <v>0</v>
      </c>
      <c r="DA14" s="54">
        <v>4</v>
      </c>
      <c r="DB14" s="79">
        <f t="shared" si="39"/>
        <v>0</v>
      </c>
      <c r="DC14" s="50">
        <v>90.432000000000002</v>
      </c>
      <c r="DD14" s="74">
        <f t="shared" si="40"/>
        <v>0</v>
      </c>
      <c r="DE14" s="146"/>
      <c r="DF14" s="29"/>
      <c r="DG14" s="29">
        <v>16.23</v>
      </c>
      <c r="DH14" s="29">
        <v>36.5</v>
      </c>
      <c r="DI14" s="29"/>
      <c r="DJ14" s="29">
        <v>7.6219999999999999</v>
      </c>
      <c r="DK14" s="29"/>
      <c r="DL14" s="87"/>
      <c r="DM14" s="34"/>
      <c r="DN14" s="34"/>
      <c r="DO14" s="34"/>
      <c r="DP14" s="34"/>
      <c r="DQ14" s="34"/>
    </row>
    <row r="15" spans="1:121" s="32" customFormat="1" x14ac:dyDescent="0.35">
      <c r="A15" s="34"/>
      <c r="B15" s="59">
        <v>10000</v>
      </c>
      <c r="C15" s="58">
        <f t="shared" si="54"/>
        <v>0</v>
      </c>
      <c r="D15" s="114" t="s">
        <v>15</v>
      </c>
      <c r="E15" s="119">
        <f t="shared" si="41"/>
        <v>0</v>
      </c>
      <c r="F15" s="119">
        <v>0</v>
      </c>
      <c r="G15" s="35"/>
      <c r="H15" s="212"/>
      <c r="I15" s="39"/>
      <c r="J15" s="97">
        <f t="shared" si="55"/>
        <v>0</v>
      </c>
      <c r="K15" s="98">
        <f t="shared" si="56"/>
        <v>100</v>
      </c>
      <c r="L15" s="34"/>
      <c r="M15" s="60" t="s">
        <v>73</v>
      </c>
      <c r="N15" s="61" t="s">
        <v>55</v>
      </c>
      <c r="O15" s="71">
        <f>O11*0.19</f>
        <v>0.17100000000000001</v>
      </c>
      <c r="P15" s="71"/>
      <c r="Q15" s="106">
        <f t="shared" si="57"/>
        <v>0.17100000000000001</v>
      </c>
      <c r="R15" s="97">
        <f t="shared" si="63"/>
        <v>1000</v>
      </c>
      <c r="S15" s="35"/>
      <c r="T15" s="63">
        <f>SUM(AZ5:AZ38)</f>
        <v>0.24345564974749972</v>
      </c>
      <c r="U15" s="200"/>
      <c r="V15" s="8"/>
      <c r="W15" s="71">
        <f>W11*0.19</f>
        <v>0.15200000000000002</v>
      </c>
      <c r="X15" s="15"/>
      <c r="Y15" s="71"/>
      <c r="Z15" s="10"/>
      <c r="AA15" s="200"/>
      <c r="AB15" s="143" t="s">
        <v>15</v>
      </c>
      <c r="AC15" s="43">
        <v>2012</v>
      </c>
      <c r="AD15" s="42">
        <f t="shared" si="0"/>
        <v>0</v>
      </c>
      <c r="AE15" s="45">
        <v>14.531000000000001</v>
      </c>
      <c r="AF15" s="44">
        <f t="shared" si="1"/>
        <v>0</v>
      </c>
      <c r="AG15" s="47">
        <v>4.0199999999999996</v>
      </c>
      <c r="AH15" s="46">
        <f t="shared" si="2"/>
        <v>0</v>
      </c>
      <c r="AI15" s="47">
        <v>4.0199999999999996</v>
      </c>
      <c r="AJ15" s="46">
        <f t="shared" si="3"/>
        <v>0</v>
      </c>
      <c r="AK15" s="47">
        <v>19.806999999999999</v>
      </c>
      <c r="AL15" s="46">
        <f t="shared" si="4"/>
        <v>0</v>
      </c>
      <c r="AM15" s="47">
        <v>8.2899999999999991</v>
      </c>
      <c r="AN15" s="46">
        <f t="shared" si="5"/>
        <v>0</v>
      </c>
      <c r="AO15" s="47">
        <v>5.0640000000000001</v>
      </c>
      <c r="AP15" s="46">
        <f t="shared" si="6"/>
        <v>0</v>
      </c>
      <c r="AQ15" s="47">
        <f>AE15*0.037+0.042</f>
        <v>0.57964700000000002</v>
      </c>
      <c r="AR15" s="46">
        <f t="shared" si="7"/>
        <v>0</v>
      </c>
      <c r="AS15" s="47">
        <f>AE15*0.014+0.005</f>
        <v>0.20843400000000001</v>
      </c>
      <c r="AT15" s="46">
        <f t="shared" si="8"/>
        <v>0</v>
      </c>
      <c r="AU15" s="47">
        <f>AE15*0.034+0.016</f>
        <v>0.51005400000000001</v>
      </c>
      <c r="AV15" s="46">
        <f t="shared" si="9"/>
        <v>0</v>
      </c>
      <c r="AW15" s="47">
        <f>AE15*0.029+0.04</f>
        <v>0.461399</v>
      </c>
      <c r="AX15" s="46">
        <f t="shared" si="10"/>
        <v>0</v>
      </c>
      <c r="AY15" s="47">
        <f>AE15*0.014+0.019</f>
        <v>0.22243399999999999</v>
      </c>
      <c r="AZ15" s="46">
        <f t="shared" si="11"/>
        <v>0</v>
      </c>
      <c r="BA15" s="47">
        <f>AE15*0.075-0.012</f>
        <v>1.077825</v>
      </c>
      <c r="BB15" s="46">
        <f t="shared" si="12"/>
        <v>0</v>
      </c>
      <c r="BC15" s="47">
        <f>AE15*0.03+0.003</f>
        <v>0.43892999999999999</v>
      </c>
      <c r="BD15" s="46">
        <f t="shared" si="13"/>
        <v>0</v>
      </c>
      <c r="BE15" s="47">
        <f>AE15*0.058+0.018</f>
        <v>0.86079800000000006</v>
      </c>
      <c r="BF15" s="46">
        <f t="shared" si="14"/>
        <v>0</v>
      </c>
      <c r="BG15" s="47">
        <f>AE15*0.044+0.018</f>
        <v>0.65736400000000006</v>
      </c>
      <c r="BH15" s="46">
        <f t="shared" si="15"/>
        <v>0</v>
      </c>
      <c r="BI15" s="47">
        <f>AE15*0.028-0.027</f>
        <v>0.37986799999999998</v>
      </c>
      <c r="BJ15" s="46">
        <f t="shared" si="16"/>
        <v>0</v>
      </c>
      <c r="BK15" s="47">
        <f>AE15*0.04-0.019</f>
        <v>0.56224000000000007</v>
      </c>
      <c r="BL15" s="46">
        <f t="shared" si="17"/>
        <v>0</v>
      </c>
      <c r="BM15" s="47">
        <f>AE15*0.0282</f>
        <v>0.40977420000000003</v>
      </c>
      <c r="BN15" s="47">
        <f>BK15+BM15</f>
        <v>0.97201420000000005</v>
      </c>
      <c r="BO15" s="46">
        <f t="shared" si="19"/>
        <v>0</v>
      </c>
      <c r="BP15" s="47">
        <f>AE15*0.049+0.04</f>
        <v>0.7520190000000001</v>
      </c>
      <c r="BQ15" s="48">
        <f>AE15*0.041</f>
        <v>0.59577100000000005</v>
      </c>
      <c r="BR15" s="48">
        <f>BP15+BQ15</f>
        <v>1.3477900000000003</v>
      </c>
      <c r="BS15" s="47">
        <v>0.09</v>
      </c>
      <c r="BT15" s="46">
        <f t="shared" si="21"/>
        <v>0</v>
      </c>
      <c r="BU15" s="47">
        <v>0.90280000000000005</v>
      </c>
      <c r="BV15" s="46">
        <f t="shared" si="22"/>
        <v>0</v>
      </c>
      <c r="BW15" s="47">
        <f>BU15*0.326</f>
        <v>0.29431280000000004</v>
      </c>
      <c r="BX15" s="46">
        <f t="shared" si="23"/>
        <v>0</v>
      </c>
      <c r="BY15" s="47">
        <v>0.38</v>
      </c>
      <c r="BZ15" s="46">
        <f t="shared" si="24"/>
        <v>0</v>
      </c>
      <c r="CA15" s="47">
        <v>0.01</v>
      </c>
      <c r="CB15" s="46">
        <f t="shared" si="25"/>
        <v>0</v>
      </c>
      <c r="CC15" s="47">
        <v>1.06</v>
      </c>
      <c r="CD15" s="46">
        <f t="shared" si="26"/>
        <v>0</v>
      </c>
      <c r="CE15" s="47">
        <v>0.09</v>
      </c>
      <c r="CF15" s="46">
        <f t="shared" si="27"/>
        <v>0</v>
      </c>
      <c r="CG15" s="47">
        <v>0.19</v>
      </c>
      <c r="CH15" s="46">
        <f t="shared" si="28"/>
        <v>0</v>
      </c>
      <c r="CI15" s="43">
        <f>(CA15*435)+(CC15*256)-(CE15*282)</f>
        <v>250.33000000000004</v>
      </c>
      <c r="CJ15" s="42">
        <f t="shared" si="30"/>
        <v>0</v>
      </c>
      <c r="CK15" s="47">
        <v>0.73599999999999999</v>
      </c>
      <c r="CL15" s="46">
        <f t="shared" si="31"/>
        <v>0</v>
      </c>
      <c r="CM15" s="47">
        <f>AG15*0.4512</f>
        <v>1.8138239999999997</v>
      </c>
      <c r="CN15" s="46">
        <f t="shared" si="32"/>
        <v>0</v>
      </c>
      <c r="CO15" s="47">
        <v>38.31</v>
      </c>
      <c r="CP15" s="46">
        <f t="shared" si="33"/>
        <v>0</v>
      </c>
      <c r="CQ15" s="47">
        <v>11.108000000000001</v>
      </c>
      <c r="CR15" s="46">
        <f t="shared" si="34"/>
        <v>0</v>
      </c>
      <c r="CS15" s="47">
        <v>4.6479999999999997</v>
      </c>
      <c r="CT15" s="46">
        <f t="shared" si="35"/>
        <v>0</v>
      </c>
      <c r="CU15" s="47">
        <f t="shared" si="36"/>
        <v>57.567999999999998</v>
      </c>
      <c r="CV15" s="46">
        <f t="shared" si="37"/>
        <v>0</v>
      </c>
      <c r="CW15" s="47"/>
      <c r="CX15" s="46"/>
      <c r="CY15" s="28">
        <v>0.25</v>
      </c>
      <c r="CZ15" s="46">
        <f t="shared" si="38"/>
        <v>0</v>
      </c>
      <c r="DA15" s="28">
        <v>2</v>
      </c>
      <c r="DB15" s="35">
        <f t="shared" si="39"/>
        <v>0</v>
      </c>
      <c r="DC15" s="45">
        <v>89.472999999999999</v>
      </c>
      <c r="DD15" s="46">
        <f t="shared" si="40"/>
        <v>0</v>
      </c>
      <c r="DE15" s="145">
        <v>16.78</v>
      </c>
      <c r="DF15" s="28">
        <v>-16.78</v>
      </c>
      <c r="DG15" s="28"/>
      <c r="DH15" s="28"/>
      <c r="DI15" s="28">
        <v>-69.2</v>
      </c>
      <c r="DJ15" s="28"/>
      <c r="DK15" s="28"/>
      <c r="DL15" s="39"/>
      <c r="DM15" s="34"/>
      <c r="DN15" s="34"/>
      <c r="DO15" s="34"/>
      <c r="DP15" s="34"/>
      <c r="DQ15" s="34"/>
    </row>
    <row r="16" spans="1:121" ht="15.5" x14ac:dyDescent="0.35">
      <c r="A16" s="34"/>
      <c r="B16" s="23">
        <v>55000</v>
      </c>
      <c r="C16" s="38">
        <f t="shared" si="54"/>
        <v>0</v>
      </c>
      <c r="D16" s="113" t="s">
        <v>133</v>
      </c>
      <c r="E16" s="161">
        <f>F16*$E$4/$F$39</f>
        <v>0</v>
      </c>
      <c r="F16" s="120">
        <v>0</v>
      </c>
      <c r="I16" s="87"/>
      <c r="J16" s="163">
        <f t="shared" ref="J16" si="64">IF((H16)="",0,(H16))</f>
        <v>0</v>
      </c>
      <c r="K16" s="164">
        <f t="shared" ref="K16" si="65">IF((I16)="",100,(I16))</f>
        <v>100</v>
      </c>
      <c r="L16" s="53"/>
      <c r="M16" s="88" t="s">
        <v>74</v>
      </c>
      <c r="N16" s="89" t="s">
        <v>55</v>
      </c>
      <c r="O16" s="12">
        <f>O11*1.26</f>
        <v>1.1340000000000001</v>
      </c>
      <c r="P16" s="12"/>
      <c r="Q16" s="118">
        <f t="shared" si="57"/>
        <v>1.1340000000000001</v>
      </c>
      <c r="R16" s="163">
        <f t="shared" si="63"/>
        <v>1000</v>
      </c>
      <c r="S16" s="79"/>
      <c r="T16" s="86">
        <f>SUM(BB5:BB38)</f>
        <v>1.5823215839793603</v>
      </c>
      <c r="U16" s="200"/>
      <c r="V16" s="8"/>
      <c r="W16" s="12">
        <f>W11*1.26</f>
        <v>1.008</v>
      </c>
      <c r="X16" s="15"/>
      <c r="Y16" s="12"/>
      <c r="Z16" s="10"/>
      <c r="AA16" s="200"/>
      <c r="AB16" s="177" t="s">
        <v>133</v>
      </c>
      <c r="AC16" s="77">
        <v>8800</v>
      </c>
      <c r="AD16" s="72">
        <f t="shared" si="0"/>
        <v>0</v>
      </c>
      <c r="AE16" s="78"/>
      <c r="AF16" s="73">
        <f t="shared" si="1"/>
        <v>0</v>
      </c>
      <c r="AG16" s="75">
        <v>98</v>
      </c>
      <c r="AH16" s="74">
        <f t="shared" si="2"/>
        <v>0</v>
      </c>
      <c r="AI16" s="75"/>
      <c r="AJ16" s="74">
        <f t="shared" si="3"/>
        <v>0</v>
      </c>
      <c r="AK16" s="75"/>
      <c r="AL16" s="74">
        <f t="shared" si="4"/>
        <v>0</v>
      </c>
      <c r="AM16" s="75"/>
      <c r="AN16" s="74">
        <f t="shared" si="5"/>
        <v>0</v>
      </c>
      <c r="AO16" s="75"/>
      <c r="AP16" s="74">
        <f t="shared" si="6"/>
        <v>0</v>
      </c>
      <c r="AQ16" s="75"/>
      <c r="AR16" s="74">
        <f t="shared" si="7"/>
        <v>0</v>
      </c>
      <c r="AS16" s="75"/>
      <c r="AT16" s="74">
        <f t="shared" si="8"/>
        <v>0</v>
      </c>
      <c r="AU16" s="75"/>
      <c r="AV16" s="74">
        <f t="shared" si="9"/>
        <v>0</v>
      </c>
      <c r="AW16" s="75"/>
      <c r="AX16" s="74">
        <f t="shared" si="10"/>
        <v>0</v>
      </c>
      <c r="AY16" s="75"/>
      <c r="AZ16" s="74">
        <f t="shared" si="11"/>
        <v>0</v>
      </c>
      <c r="BA16" s="75"/>
      <c r="BB16" s="74">
        <f t="shared" si="12"/>
        <v>0</v>
      </c>
      <c r="BC16" s="75"/>
      <c r="BD16" s="74">
        <f t="shared" si="13"/>
        <v>0</v>
      </c>
      <c r="BE16" s="75"/>
      <c r="BF16" s="74">
        <f t="shared" si="14"/>
        <v>0</v>
      </c>
      <c r="BG16" s="75"/>
      <c r="BH16" s="74">
        <f t="shared" si="15"/>
        <v>0</v>
      </c>
      <c r="BI16" s="75"/>
      <c r="BJ16" s="74"/>
      <c r="BK16" s="75"/>
      <c r="BL16" s="74"/>
      <c r="BM16" s="75"/>
      <c r="BN16" s="75"/>
      <c r="BO16" s="74"/>
      <c r="BP16" s="75"/>
      <c r="BQ16" s="178"/>
      <c r="BR16" s="178"/>
      <c r="BS16" s="75"/>
      <c r="BT16" s="74">
        <f t="shared" si="21"/>
        <v>0</v>
      </c>
      <c r="BU16" s="75"/>
      <c r="BV16" s="74">
        <f t="shared" si="22"/>
        <v>0</v>
      </c>
      <c r="BW16" s="75"/>
      <c r="BX16" s="74">
        <f t="shared" si="23"/>
        <v>0</v>
      </c>
      <c r="BY16" s="75"/>
      <c r="BZ16" s="74">
        <f t="shared" si="24"/>
        <v>0</v>
      </c>
      <c r="CA16" s="75"/>
      <c r="CB16" s="74">
        <f t="shared" si="25"/>
        <v>0</v>
      </c>
      <c r="CC16" s="75"/>
      <c r="CD16" s="74">
        <f t="shared" si="26"/>
        <v>0</v>
      </c>
      <c r="CE16" s="75"/>
      <c r="CF16" s="74">
        <f t="shared" si="27"/>
        <v>0</v>
      </c>
      <c r="CG16" s="75"/>
      <c r="CH16" s="74">
        <f t="shared" si="28"/>
        <v>0</v>
      </c>
      <c r="CI16" s="77"/>
      <c r="CJ16" s="72">
        <f t="shared" si="30"/>
        <v>0</v>
      </c>
      <c r="CK16" s="75"/>
      <c r="CL16" s="74">
        <f t="shared" si="31"/>
        <v>0</v>
      </c>
      <c r="CM16" s="75"/>
      <c r="CN16" s="74">
        <f t="shared" si="32"/>
        <v>0</v>
      </c>
      <c r="CO16" s="75"/>
      <c r="CP16" s="74">
        <f t="shared" si="33"/>
        <v>0</v>
      </c>
      <c r="CQ16" s="75"/>
      <c r="CR16" s="74">
        <f t="shared" si="34"/>
        <v>0</v>
      </c>
      <c r="CS16" s="75"/>
      <c r="CT16" s="74">
        <f t="shared" si="35"/>
        <v>0</v>
      </c>
      <c r="CU16" s="75"/>
      <c r="CV16" s="74">
        <f t="shared" si="37"/>
        <v>0</v>
      </c>
      <c r="CW16" s="75"/>
      <c r="CX16" s="74"/>
      <c r="CY16" s="54">
        <v>0.9</v>
      </c>
      <c r="CZ16" s="74">
        <f t="shared" si="38"/>
        <v>0</v>
      </c>
      <c r="DA16" s="54">
        <v>-40</v>
      </c>
      <c r="DB16" s="79">
        <f t="shared" si="39"/>
        <v>0</v>
      </c>
      <c r="DC16" s="78">
        <v>80</v>
      </c>
      <c r="DD16" s="74">
        <f t="shared" si="40"/>
        <v>0</v>
      </c>
      <c r="DE16" s="179"/>
      <c r="DF16" s="54"/>
      <c r="DG16" s="54"/>
      <c r="DH16" s="54"/>
      <c r="DI16" s="54"/>
      <c r="DJ16" s="54"/>
      <c r="DK16" s="54"/>
      <c r="DL16" s="162"/>
      <c r="DM16" s="138"/>
      <c r="DN16" s="53"/>
      <c r="DO16" s="53"/>
      <c r="DP16" s="53"/>
      <c r="DQ16" s="53"/>
    </row>
    <row r="17" spans="1:121" s="32" customFormat="1" x14ac:dyDescent="0.3">
      <c r="A17" s="34"/>
      <c r="B17" s="59">
        <v>53000</v>
      </c>
      <c r="C17" s="58">
        <f t="shared" si="54"/>
        <v>3785.714285714299</v>
      </c>
      <c r="D17" s="114" t="s">
        <v>16</v>
      </c>
      <c r="E17" s="119">
        <f t="shared" ref="E17:E31" si="66">F17*$E$4/$F$39</f>
        <v>71.428571428570976</v>
      </c>
      <c r="F17" s="119">
        <v>7.1428571428571681</v>
      </c>
      <c r="G17" s="35"/>
      <c r="H17" s="212"/>
      <c r="I17" s="39"/>
      <c r="J17" s="97">
        <f t="shared" si="55"/>
        <v>0</v>
      </c>
      <c r="K17" s="98">
        <f t="shared" si="56"/>
        <v>100</v>
      </c>
      <c r="L17" s="34"/>
      <c r="M17" s="60" t="s">
        <v>75</v>
      </c>
      <c r="N17" s="61" t="s">
        <v>55</v>
      </c>
      <c r="O17" s="71">
        <f>O11*0.64</f>
        <v>0.57600000000000007</v>
      </c>
      <c r="P17" s="71"/>
      <c r="Q17" s="106">
        <f t="shared" si="57"/>
        <v>0.57600000000000007</v>
      </c>
      <c r="R17" s="97">
        <f t="shared" si="63"/>
        <v>1000</v>
      </c>
      <c r="S17" s="35"/>
      <c r="T17" s="63">
        <f>SUM(BD5:BD38)</f>
        <v>0.97214960905973424</v>
      </c>
      <c r="U17" s="200"/>
      <c r="V17" s="8"/>
      <c r="W17" s="71">
        <f>W11*0.64</f>
        <v>0.51200000000000001</v>
      </c>
      <c r="X17" s="15"/>
      <c r="Y17" s="71"/>
      <c r="Z17" s="10"/>
      <c r="AA17" s="200"/>
      <c r="AB17" s="143" t="s">
        <v>16</v>
      </c>
      <c r="AC17" s="134">
        <v>8800</v>
      </c>
      <c r="AD17" s="42">
        <f t="shared" si="0"/>
        <v>628.57142857143083</v>
      </c>
      <c r="AE17" s="135"/>
      <c r="AF17" s="44">
        <f t="shared" si="1"/>
        <v>0</v>
      </c>
      <c r="AG17" s="137">
        <v>98</v>
      </c>
      <c r="AH17" s="46">
        <f t="shared" si="2"/>
        <v>7.0000000000000249</v>
      </c>
      <c r="AI17" s="137"/>
      <c r="AJ17" s="46">
        <f t="shared" si="3"/>
        <v>0</v>
      </c>
      <c r="AK17" s="137"/>
      <c r="AL17" s="46">
        <f t="shared" si="4"/>
        <v>0</v>
      </c>
      <c r="AM17" s="137"/>
      <c r="AN17" s="46">
        <f t="shared" si="5"/>
        <v>0</v>
      </c>
      <c r="AO17" s="137"/>
      <c r="AP17" s="46">
        <f t="shared" si="6"/>
        <v>0</v>
      </c>
      <c r="AQ17" s="136"/>
      <c r="AR17" s="46">
        <f t="shared" si="7"/>
        <v>0</v>
      </c>
      <c r="AS17" s="136"/>
      <c r="AT17" s="46">
        <f t="shared" si="8"/>
        <v>0</v>
      </c>
      <c r="AU17" s="136"/>
      <c r="AV17" s="46">
        <f t="shared" si="9"/>
        <v>0</v>
      </c>
      <c r="AW17" s="136"/>
      <c r="AX17" s="46">
        <f t="shared" si="10"/>
        <v>0</v>
      </c>
      <c r="AY17" s="136"/>
      <c r="AZ17" s="46">
        <f t="shared" si="11"/>
        <v>0</v>
      </c>
      <c r="BA17" s="136"/>
      <c r="BB17" s="46">
        <f t="shared" si="12"/>
        <v>0</v>
      </c>
      <c r="BC17" s="136"/>
      <c r="BD17" s="46">
        <f t="shared" si="13"/>
        <v>0</v>
      </c>
      <c r="BE17" s="136"/>
      <c r="BF17" s="46">
        <f t="shared" si="14"/>
        <v>0</v>
      </c>
      <c r="BG17" s="136"/>
      <c r="BH17" s="46">
        <f t="shared" si="15"/>
        <v>0</v>
      </c>
      <c r="BI17" s="136"/>
      <c r="BJ17" s="46"/>
      <c r="BK17" s="136"/>
      <c r="BL17" s="46"/>
      <c r="BM17" s="136"/>
      <c r="BN17" s="136"/>
      <c r="BO17" s="46"/>
      <c r="BP17" s="136"/>
      <c r="BQ17" s="136"/>
      <c r="BR17" s="136"/>
      <c r="BS17" s="136"/>
      <c r="BT17" s="46">
        <f t="shared" si="21"/>
        <v>0</v>
      </c>
      <c r="BU17" s="136"/>
      <c r="BV17" s="46">
        <f t="shared" si="22"/>
        <v>0</v>
      </c>
      <c r="BW17" s="136"/>
      <c r="BX17" s="46">
        <f t="shared" si="23"/>
        <v>0</v>
      </c>
      <c r="BY17" s="136"/>
      <c r="BZ17" s="46">
        <f t="shared" si="24"/>
        <v>0</v>
      </c>
      <c r="CA17" s="136"/>
      <c r="CB17" s="46">
        <f t="shared" si="25"/>
        <v>0</v>
      </c>
      <c r="CC17" s="137"/>
      <c r="CD17" s="46">
        <f t="shared" si="26"/>
        <v>0</v>
      </c>
      <c r="CE17" s="136"/>
      <c r="CF17" s="46">
        <f t="shared" si="27"/>
        <v>0</v>
      </c>
      <c r="CG17" s="137"/>
      <c r="CH17" s="46">
        <f t="shared" si="28"/>
        <v>0</v>
      </c>
      <c r="CI17" s="137"/>
      <c r="CJ17" s="42">
        <f t="shared" si="30"/>
        <v>0</v>
      </c>
      <c r="CK17" s="136"/>
      <c r="CL17" s="46">
        <f t="shared" si="31"/>
        <v>0</v>
      </c>
      <c r="CM17" s="137">
        <f>AG17*0.5</f>
        <v>49</v>
      </c>
      <c r="CN17" s="46">
        <f t="shared" si="32"/>
        <v>3.5000000000000124</v>
      </c>
      <c r="CO17" s="137"/>
      <c r="CP17" s="46">
        <f t="shared" si="33"/>
        <v>0</v>
      </c>
      <c r="CQ17" s="137"/>
      <c r="CR17" s="46">
        <f t="shared" si="34"/>
        <v>0</v>
      </c>
      <c r="CS17" s="137"/>
      <c r="CT17" s="46">
        <f t="shared" si="35"/>
        <v>0</v>
      </c>
      <c r="CU17" s="137"/>
      <c r="CV17" s="46">
        <f t="shared" si="37"/>
        <v>0</v>
      </c>
      <c r="CW17" s="137"/>
      <c r="CX17" s="46"/>
      <c r="CY17" s="126">
        <v>0.9</v>
      </c>
      <c r="CZ17" s="46">
        <f t="shared" si="38"/>
        <v>6.4285714285714515E-2</v>
      </c>
      <c r="DA17" s="126">
        <v>-40</v>
      </c>
      <c r="DB17" s="35">
        <f t="shared" si="39"/>
        <v>-2.8571428571428674</v>
      </c>
      <c r="DC17" s="135">
        <v>80</v>
      </c>
      <c r="DD17" s="46">
        <f t="shared" si="40"/>
        <v>5.7142857142857348</v>
      </c>
      <c r="DE17" s="125"/>
      <c r="DF17" s="126"/>
      <c r="DG17" s="126"/>
      <c r="DH17" s="126"/>
      <c r="DI17" s="126"/>
      <c r="DJ17" s="126"/>
      <c r="DK17" s="126"/>
      <c r="DL17" s="127"/>
      <c r="DM17" s="34"/>
      <c r="DN17" s="34"/>
      <c r="DO17" s="34"/>
      <c r="DP17" s="34"/>
      <c r="DQ17" s="34"/>
    </row>
    <row r="18" spans="1:121" s="32" customFormat="1" x14ac:dyDescent="0.35">
      <c r="A18" s="34"/>
      <c r="B18" s="23">
        <v>175000</v>
      </c>
      <c r="C18" s="38">
        <f t="shared" si="54"/>
        <v>61.605821461115774</v>
      </c>
      <c r="D18" s="115" t="s">
        <v>17</v>
      </c>
      <c r="E18" s="161">
        <f t="shared" si="66"/>
        <v>0.35203326549208663</v>
      </c>
      <c r="F18" s="120">
        <v>3.5203326549209012E-2</v>
      </c>
      <c r="G18" s="36"/>
      <c r="H18" s="213"/>
      <c r="I18" s="87"/>
      <c r="J18" s="99">
        <f t="shared" si="55"/>
        <v>0</v>
      </c>
      <c r="K18" s="100">
        <f t="shared" si="56"/>
        <v>100</v>
      </c>
      <c r="L18" s="34"/>
      <c r="M18" s="1" t="s">
        <v>76</v>
      </c>
      <c r="N18" s="27" t="s">
        <v>55</v>
      </c>
      <c r="O18" s="12">
        <f>O11*0.75</f>
        <v>0.67500000000000004</v>
      </c>
      <c r="P18" s="12"/>
      <c r="Q18" s="117">
        <f t="shared" si="57"/>
        <v>0.67500000000000004</v>
      </c>
      <c r="R18" s="99">
        <f t="shared" si="63"/>
        <v>1000</v>
      </c>
      <c r="S18" s="36"/>
      <c r="T18" s="2">
        <f>SUM(BH5:BH38)</f>
        <v>1.1998135932972751</v>
      </c>
      <c r="U18" s="200"/>
      <c r="V18" s="8"/>
      <c r="W18" s="12">
        <f>W11*0.75</f>
        <v>0.60000000000000009</v>
      </c>
      <c r="X18" s="15"/>
      <c r="Y18" s="12"/>
      <c r="Z18" s="10"/>
      <c r="AA18" s="200"/>
      <c r="AB18" s="177" t="s">
        <v>17</v>
      </c>
      <c r="AC18" s="77">
        <v>5019</v>
      </c>
      <c r="AD18" s="72">
        <f t="shared" si="0"/>
        <v>1.7668549595048002</v>
      </c>
      <c r="AE18" s="78">
        <v>58.1</v>
      </c>
      <c r="AF18" s="73">
        <f t="shared" si="1"/>
        <v>2.0453132725090434E-2</v>
      </c>
      <c r="AG18" s="75"/>
      <c r="AH18" s="74"/>
      <c r="AI18" s="75"/>
      <c r="AJ18" s="74"/>
      <c r="AK18" s="75"/>
      <c r="AL18" s="74"/>
      <c r="AM18" s="75"/>
      <c r="AN18" s="74">
        <f t="shared" si="5"/>
        <v>0</v>
      </c>
      <c r="AO18" s="75">
        <v>0.5</v>
      </c>
      <c r="AP18" s="74">
        <f t="shared" si="6"/>
        <v>1.7601663274604507E-4</v>
      </c>
      <c r="AQ18" s="75"/>
      <c r="AR18" s="74">
        <f t="shared" si="7"/>
        <v>0</v>
      </c>
      <c r="AS18" s="75">
        <v>99</v>
      </c>
      <c r="AT18" s="74">
        <f t="shared" si="8"/>
        <v>3.4851293283716923E-2</v>
      </c>
      <c r="AU18" s="75">
        <v>99</v>
      </c>
      <c r="AV18" s="74">
        <f t="shared" si="9"/>
        <v>3.4851293283716923E-2</v>
      </c>
      <c r="AW18" s="75"/>
      <c r="AX18" s="74">
        <f t="shared" si="10"/>
        <v>0</v>
      </c>
      <c r="AY18" s="75"/>
      <c r="AZ18" s="74">
        <f t="shared" si="11"/>
        <v>0</v>
      </c>
      <c r="BA18" s="75"/>
      <c r="BB18" s="74">
        <f t="shared" si="12"/>
        <v>0</v>
      </c>
      <c r="BC18" s="75"/>
      <c r="BD18" s="74">
        <f t="shared" si="13"/>
        <v>0</v>
      </c>
      <c r="BE18" s="75"/>
      <c r="BF18" s="74">
        <f t="shared" si="14"/>
        <v>0</v>
      </c>
      <c r="BG18" s="75"/>
      <c r="BH18" s="74">
        <f t="shared" si="15"/>
        <v>0</v>
      </c>
      <c r="BI18" s="75"/>
      <c r="BJ18" s="74"/>
      <c r="BK18" s="75"/>
      <c r="BL18" s="74"/>
      <c r="BM18" s="75"/>
      <c r="BN18" s="75"/>
      <c r="BO18" s="74"/>
      <c r="BP18" s="75"/>
      <c r="BQ18" s="178"/>
      <c r="BR18" s="178"/>
      <c r="BS18" s="75"/>
      <c r="BT18" s="74">
        <f t="shared" si="21"/>
        <v>0</v>
      </c>
      <c r="BU18" s="75"/>
      <c r="BV18" s="74">
        <f t="shared" si="22"/>
        <v>0</v>
      </c>
      <c r="BW18" s="75"/>
      <c r="BX18" s="74">
        <f t="shared" si="23"/>
        <v>0</v>
      </c>
      <c r="BY18" s="75"/>
      <c r="BZ18" s="74">
        <f t="shared" si="24"/>
        <v>0</v>
      </c>
      <c r="CA18" s="75"/>
      <c r="CB18" s="74">
        <f t="shared" si="25"/>
        <v>0</v>
      </c>
      <c r="CC18" s="75"/>
      <c r="CD18" s="74">
        <f t="shared" si="26"/>
        <v>0</v>
      </c>
      <c r="CE18" s="75"/>
      <c r="CF18" s="74">
        <f t="shared" si="27"/>
        <v>0</v>
      </c>
      <c r="CG18" s="75">
        <v>21.445</v>
      </c>
      <c r="CH18" s="74">
        <f t="shared" si="28"/>
        <v>7.5493533784778723E-3</v>
      </c>
      <c r="CI18" s="77"/>
      <c r="CJ18" s="72">
        <f t="shared" si="30"/>
        <v>0</v>
      </c>
      <c r="CK18" s="75"/>
      <c r="CL18" s="74">
        <f t="shared" si="31"/>
        <v>0</v>
      </c>
      <c r="CM18" s="75"/>
      <c r="CN18" s="74">
        <f t="shared" si="32"/>
        <v>0</v>
      </c>
      <c r="CO18" s="75"/>
      <c r="CP18" s="74">
        <f t="shared" si="33"/>
        <v>0</v>
      </c>
      <c r="CQ18" s="75"/>
      <c r="CR18" s="74">
        <f t="shared" si="34"/>
        <v>0</v>
      </c>
      <c r="CS18" s="75"/>
      <c r="CT18" s="74">
        <f t="shared" si="35"/>
        <v>0</v>
      </c>
      <c r="CU18" s="75"/>
      <c r="CV18" s="74">
        <f t="shared" si="37"/>
        <v>0</v>
      </c>
      <c r="CW18" s="75"/>
      <c r="CX18" s="74"/>
      <c r="CY18" s="54">
        <v>0.7</v>
      </c>
      <c r="CZ18" s="74">
        <f t="shared" si="38"/>
        <v>2.4642328584446307E-4</v>
      </c>
      <c r="DA18" s="54">
        <v>2</v>
      </c>
      <c r="DB18" s="79">
        <f t="shared" si="39"/>
        <v>7.0406653098418028E-4</v>
      </c>
      <c r="DC18" s="78">
        <v>98</v>
      </c>
      <c r="DD18" s="74">
        <f t="shared" si="40"/>
        <v>3.4499260018224828E-2</v>
      </c>
      <c r="DE18" s="179"/>
      <c r="DF18" s="54"/>
      <c r="DG18" s="54"/>
      <c r="DH18" s="54"/>
      <c r="DI18" s="54"/>
      <c r="DJ18" s="54"/>
      <c r="DK18" s="54"/>
      <c r="DL18" s="162"/>
      <c r="DM18" s="34"/>
      <c r="DN18" s="34"/>
      <c r="DO18" s="34"/>
      <c r="DP18" s="34"/>
      <c r="DQ18" s="34"/>
    </row>
    <row r="19" spans="1:121" s="32" customFormat="1" x14ac:dyDescent="0.35">
      <c r="A19" s="34"/>
      <c r="B19" s="59">
        <v>120000</v>
      </c>
      <c r="C19" s="58">
        <f t="shared" si="54"/>
        <v>0</v>
      </c>
      <c r="D19" s="114" t="s">
        <v>99</v>
      </c>
      <c r="E19" s="119">
        <f t="shared" si="66"/>
        <v>0</v>
      </c>
      <c r="F19" s="119">
        <v>0</v>
      </c>
      <c r="G19" s="35"/>
      <c r="H19" s="212"/>
      <c r="I19" s="39"/>
      <c r="J19" s="97">
        <f t="shared" si="55"/>
        <v>0</v>
      </c>
      <c r="K19" s="98">
        <f t="shared" si="56"/>
        <v>100</v>
      </c>
      <c r="L19" s="34"/>
      <c r="M19" s="60" t="s">
        <v>156</v>
      </c>
      <c r="N19" s="61" t="s">
        <v>55</v>
      </c>
      <c r="O19" s="70">
        <f>O11*1.51</f>
        <v>1.359</v>
      </c>
      <c r="P19" s="71"/>
      <c r="Q19" s="189">
        <f t="shared" ref="Q19:Q22" si="67">IF((O19)="",0,(O19))</f>
        <v>1.359</v>
      </c>
      <c r="R19" s="97">
        <f t="shared" ref="R19:R22" si="68">IF((P19)="",1000,(P19))</f>
        <v>1000</v>
      </c>
      <c r="S19" s="35"/>
      <c r="T19" s="63">
        <f>SUM(BF5:BF38)</f>
        <v>2.1094646649263735</v>
      </c>
      <c r="U19" s="200"/>
      <c r="V19" s="13"/>
      <c r="W19" s="70">
        <f>W11*1.51</f>
        <v>1.2080000000000002</v>
      </c>
      <c r="X19" s="20"/>
      <c r="Y19" s="70"/>
      <c r="Z19" s="14"/>
      <c r="AA19" s="200"/>
      <c r="AB19" s="143" t="s">
        <v>99</v>
      </c>
      <c r="AC19" s="43">
        <v>3991</v>
      </c>
      <c r="AD19" s="42">
        <f t="shared" si="0"/>
        <v>0</v>
      </c>
      <c r="AE19" s="45">
        <v>93.4</v>
      </c>
      <c r="AF19" s="44">
        <f t="shared" si="1"/>
        <v>0</v>
      </c>
      <c r="AG19" s="47"/>
      <c r="AH19" s="46"/>
      <c r="AI19" s="47"/>
      <c r="AJ19" s="46"/>
      <c r="AK19" s="47"/>
      <c r="AL19" s="46"/>
      <c r="AM19" s="47"/>
      <c r="AN19" s="46">
        <f t="shared" si="5"/>
        <v>0</v>
      </c>
      <c r="AO19" s="47">
        <v>0.5</v>
      </c>
      <c r="AP19" s="46">
        <f t="shared" si="6"/>
        <v>0</v>
      </c>
      <c r="AQ19" s="47">
        <v>78</v>
      </c>
      <c r="AR19" s="46">
        <f t="shared" si="7"/>
        <v>0</v>
      </c>
      <c r="AS19" s="47"/>
      <c r="AT19" s="46">
        <f t="shared" si="8"/>
        <v>0</v>
      </c>
      <c r="AU19" s="47"/>
      <c r="AV19" s="46">
        <f t="shared" si="9"/>
        <v>0</v>
      </c>
      <c r="AW19" s="47"/>
      <c r="AX19" s="46">
        <f t="shared" si="10"/>
        <v>0</v>
      </c>
      <c r="AY19" s="47"/>
      <c r="AZ19" s="46">
        <f t="shared" si="11"/>
        <v>0</v>
      </c>
      <c r="BA19" s="47"/>
      <c r="BB19" s="46">
        <f t="shared" si="12"/>
        <v>0</v>
      </c>
      <c r="BC19" s="47"/>
      <c r="BD19" s="46">
        <f t="shared" si="13"/>
        <v>0</v>
      </c>
      <c r="BE19" s="47"/>
      <c r="BF19" s="46">
        <f t="shared" si="14"/>
        <v>0</v>
      </c>
      <c r="BG19" s="47"/>
      <c r="BH19" s="46">
        <f t="shared" si="15"/>
        <v>0</v>
      </c>
      <c r="BI19" s="47"/>
      <c r="BJ19" s="46"/>
      <c r="BK19" s="47"/>
      <c r="BL19" s="46"/>
      <c r="BM19" s="47"/>
      <c r="BN19" s="47"/>
      <c r="BO19" s="46"/>
      <c r="BP19" s="47"/>
      <c r="BQ19" s="48"/>
      <c r="BR19" s="48"/>
      <c r="BS19" s="47"/>
      <c r="BT19" s="46">
        <f t="shared" si="21"/>
        <v>0</v>
      </c>
      <c r="BU19" s="47"/>
      <c r="BV19" s="46">
        <f t="shared" si="22"/>
        <v>0</v>
      </c>
      <c r="BW19" s="47"/>
      <c r="BX19" s="46">
        <f t="shared" si="23"/>
        <v>0</v>
      </c>
      <c r="BY19" s="47"/>
      <c r="BZ19" s="46">
        <f t="shared" si="24"/>
        <v>0</v>
      </c>
      <c r="CA19" s="47"/>
      <c r="CB19" s="46">
        <f t="shared" si="25"/>
        <v>0</v>
      </c>
      <c r="CC19" s="47"/>
      <c r="CD19" s="46">
        <f t="shared" si="26"/>
        <v>0</v>
      </c>
      <c r="CE19" s="47">
        <v>19.399999999999999</v>
      </c>
      <c r="CF19" s="46">
        <f t="shared" si="27"/>
        <v>0</v>
      </c>
      <c r="CG19" s="47"/>
      <c r="CH19" s="46">
        <f t="shared" si="28"/>
        <v>0</v>
      </c>
      <c r="CI19" s="43">
        <f>(CA19*435)+(CC19*256)-(CE19*282)</f>
        <v>-5470.7999999999993</v>
      </c>
      <c r="CJ19" s="42">
        <f t="shared" si="30"/>
        <v>0</v>
      </c>
      <c r="CK19" s="47"/>
      <c r="CL19" s="46">
        <f t="shared" si="31"/>
        <v>0</v>
      </c>
      <c r="CM19" s="47"/>
      <c r="CN19" s="46">
        <f t="shared" si="32"/>
        <v>0</v>
      </c>
      <c r="CO19" s="47"/>
      <c r="CP19" s="46">
        <f t="shared" si="33"/>
        <v>0</v>
      </c>
      <c r="CQ19" s="47"/>
      <c r="CR19" s="46">
        <f t="shared" si="34"/>
        <v>0</v>
      </c>
      <c r="CS19" s="47"/>
      <c r="CT19" s="46">
        <f t="shared" si="35"/>
        <v>0</v>
      </c>
      <c r="CU19" s="47"/>
      <c r="CV19" s="46">
        <f t="shared" si="37"/>
        <v>0</v>
      </c>
      <c r="CW19" s="47"/>
      <c r="CX19" s="46"/>
      <c r="CY19" s="28">
        <v>0.7</v>
      </c>
      <c r="CZ19" s="46">
        <f t="shared" si="38"/>
        <v>0</v>
      </c>
      <c r="DA19" s="28">
        <v>2</v>
      </c>
      <c r="DB19" s="35">
        <f t="shared" si="39"/>
        <v>0</v>
      </c>
      <c r="DC19" s="45">
        <v>98</v>
      </c>
      <c r="DD19" s="46">
        <f t="shared" si="40"/>
        <v>0</v>
      </c>
      <c r="DE19" s="145"/>
      <c r="DF19" s="28"/>
      <c r="DG19" s="28"/>
      <c r="DH19" s="28"/>
      <c r="DI19" s="28"/>
      <c r="DJ19" s="28"/>
      <c r="DK19" s="28"/>
      <c r="DL19" s="39"/>
      <c r="DM19" s="34"/>
      <c r="DN19" s="34"/>
      <c r="DO19" s="34"/>
      <c r="DP19" s="34"/>
      <c r="DQ19" s="34"/>
    </row>
    <row r="20" spans="1:121" s="32" customFormat="1" x14ac:dyDescent="0.35">
      <c r="A20" s="34"/>
      <c r="B20" s="159">
        <v>105000</v>
      </c>
      <c r="C20" s="38">
        <f t="shared" si="54"/>
        <v>0</v>
      </c>
      <c r="D20" s="160" t="s">
        <v>18</v>
      </c>
      <c r="E20" s="161">
        <f t="shared" si="66"/>
        <v>0</v>
      </c>
      <c r="F20" s="161">
        <v>0</v>
      </c>
      <c r="G20" s="79"/>
      <c r="H20" s="214"/>
      <c r="I20" s="162"/>
      <c r="J20" s="163">
        <f t="shared" si="55"/>
        <v>0</v>
      </c>
      <c r="K20" s="164">
        <f t="shared" si="56"/>
        <v>100</v>
      </c>
      <c r="L20" s="34"/>
      <c r="M20" s="88" t="s">
        <v>157</v>
      </c>
      <c r="N20" s="89" t="s">
        <v>55</v>
      </c>
      <c r="O20" s="12">
        <f>O11*0.39</f>
        <v>0.35100000000000003</v>
      </c>
      <c r="P20" s="12"/>
      <c r="Q20" s="117">
        <f t="shared" si="67"/>
        <v>0.35100000000000003</v>
      </c>
      <c r="R20" s="99">
        <f t="shared" si="68"/>
        <v>1000</v>
      </c>
      <c r="S20" s="79"/>
      <c r="T20" s="86">
        <f>SUM(BJ5:BJ38)</f>
        <v>0.55955594172088086</v>
      </c>
      <c r="U20" s="200"/>
      <c r="V20" s="8"/>
      <c r="W20" s="12">
        <f>W11*0.39</f>
        <v>0.31200000000000006</v>
      </c>
      <c r="X20" s="15"/>
      <c r="Y20" s="12"/>
      <c r="Z20" s="10"/>
      <c r="AA20" s="200"/>
      <c r="AB20" s="177" t="s">
        <v>18</v>
      </c>
      <c r="AC20" s="77">
        <v>3489</v>
      </c>
      <c r="AD20" s="72">
        <f t="shared" si="0"/>
        <v>0</v>
      </c>
      <c r="AE20" s="78">
        <v>73.5</v>
      </c>
      <c r="AF20" s="73">
        <f t="shared" si="1"/>
        <v>0</v>
      </c>
      <c r="AG20" s="75"/>
      <c r="AH20" s="74"/>
      <c r="AI20" s="75"/>
      <c r="AJ20" s="74"/>
      <c r="AK20" s="75"/>
      <c r="AL20" s="74"/>
      <c r="AM20" s="75"/>
      <c r="AN20" s="74">
        <f t="shared" si="5"/>
        <v>0</v>
      </c>
      <c r="AO20" s="75">
        <v>0.5</v>
      </c>
      <c r="AP20" s="74">
        <f t="shared" si="6"/>
        <v>0</v>
      </c>
      <c r="AQ20" s="75"/>
      <c r="AR20" s="74">
        <f t="shared" si="7"/>
        <v>0</v>
      </c>
      <c r="AS20" s="75"/>
      <c r="AT20" s="74">
        <f t="shared" si="8"/>
        <v>0</v>
      </c>
      <c r="AU20" s="75"/>
      <c r="AV20" s="74">
        <f t="shared" si="9"/>
        <v>0</v>
      </c>
      <c r="AW20" s="75">
        <v>98.5</v>
      </c>
      <c r="AX20" s="74">
        <f t="shared" si="10"/>
        <v>0</v>
      </c>
      <c r="AY20" s="75"/>
      <c r="AZ20" s="74">
        <f t="shared" si="11"/>
        <v>0</v>
      </c>
      <c r="BA20" s="75"/>
      <c r="BB20" s="74">
        <f t="shared" si="12"/>
        <v>0</v>
      </c>
      <c r="BC20" s="75"/>
      <c r="BD20" s="74">
        <f t="shared" si="13"/>
        <v>0</v>
      </c>
      <c r="BE20" s="75"/>
      <c r="BF20" s="74">
        <f t="shared" si="14"/>
        <v>0</v>
      </c>
      <c r="BG20" s="75"/>
      <c r="BH20" s="74">
        <f t="shared" si="15"/>
        <v>0</v>
      </c>
      <c r="BI20" s="75"/>
      <c r="BJ20" s="74"/>
      <c r="BK20" s="75"/>
      <c r="BL20" s="74"/>
      <c r="BM20" s="75"/>
      <c r="BN20" s="75"/>
      <c r="BO20" s="74"/>
      <c r="BP20" s="75"/>
      <c r="BQ20" s="178"/>
      <c r="BR20" s="178"/>
      <c r="BS20" s="75"/>
      <c r="BT20" s="74">
        <f t="shared" si="21"/>
        <v>0</v>
      </c>
      <c r="BU20" s="75"/>
      <c r="BV20" s="74">
        <f t="shared" si="22"/>
        <v>0</v>
      </c>
      <c r="BW20" s="75"/>
      <c r="BX20" s="74">
        <f t="shared" si="23"/>
        <v>0</v>
      </c>
      <c r="BY20" s="75"/>
      <c r="BZ20" s="74">
        <f t="shared" si="24"/>
        <v>0</v>
      </c>
      <c r="CA20" s="75"/>
      <c r="CB20" s="74">
        <f t="shared" si="25"/>
        <v>0</v>
      </c>
      <c r="CC20" s="75"/>
      <c r="CD20" s="74">
        <f t="shared" si="26"/>
        <v>0</v>
      </c>
      <c r="CE20" s="75"/>
      <c r="CF20" s="74">
        <f t="shared" si="27"/>
        <v>0</v>
      </c>
      <c r="CG20" s="75"/>
      <c r="CH20" s="74">
        <f t="shared" si="28"/>
        <v>0</v>
      </c>
      <c r="CI20" s="77"/>
      <c r="CJ20" s="72">
        <f t="shared" si="30"/>
        <v>0</v>
      </c>
      <c r="CK20" s="75"/>
      <c r="CL20" s="74">
        <f t="shared" si="31"/>
        <v>0</v>
      </c>
      <c r="CM20" s="75"/>
      <c r="CN20" s="74">
        <f t="shared" si="32"/>
        <v>0</v>
      </c>
      <c r="CO20" s="75"/>
      <c r="CP20" s="74">
        <f t="shared" si="33"/>
        <v>0</v>
      </c>
      <c r="CQ20" s="75"/>
      <c r="CR20" s="74">
        <f t="shared" si="34"/>
        <v>0</v>
      </c>
      <c r="CS20" s="75"/>
      <c r="CT20" s="74">
        <f t="shared" si="35"/>
        <v>0</v>
      </c>
      <c r="CU20" s="75"/>
      <c r="CV20" s="74">
        <f t="shared" si="37"/>
        <v>0</v>
      </c>
      <c r="CW20" s="75"/>
      <c r="CX20" s="74"/>
      <c r="CY20" s="54">
        <v>0.7</v>
      </c>
      <c r="CZ20" s="74">
        <f t="shared" si="38"/>
        <v>0</v>
      </c>
      <c r="DA20" s="54">
        <v>2</v>
      </c>
      <c r="DB20" s="79">
        <f t="shared" si="39"/>
        <v>0</v>
      </c>
      <c r="DC20" s="78">
        <v>98</v>
      </c>
      <c r="DD20" s="74">
        <f t="shared" si="40"/>
        <v>0</v>
      </c>
      <c r="DE20" s="179"/>
      <c r="DF20" s="54"/>
      <c r="DG20" s="54"/>
      <c r="DH20" s="54"/>
      <c r="DI20" s="54"/>
      <c r="DJ20" s="54"/>
      <c r="DK20" s="54"/>
      <c r="DL20" s="162"/>
      <c r="DM20" s="34"/>
      <c r="DN20" s="34"/>
      <c r="DO20" s="34"/>
      <c r="DP20" s="34"/>
      <c r="DQ20" s="34"/>
    </row>
    <row r="21" spans="1:121" s="32" customFormat="1" x14ac:dyDescent="0.35">
      <c r="A21" s="34"/>
      <c r="B21" s="59">
        <v>600000</v>
      </c>
      <c r="C21" s="58">
        <f t="shared" ref="C21:C37" si="69">F21*B21%</f>
        <v>0</v>
      </c>
      <c r="D21" s="114" t="s">
        <v>19</v>
      </c>
      <c r="E21" s="119">
        <f t="shared" si="66"/>
        <v>0</v>
      </c>
      <c r="F21" s="119">
        <v>0</v>
      </c>
      <c r="G21" s="35"/>
      <c r="H21" s="212"/>
      <c r="I21" s="39"/>
      <c r="J21" s="97">
        <f t="shared" si="55"/>
        <v>0</v>
      </c>
      <c r="K21" s="98">
        <f t="shared" si="56"/>
        <v>100</v>
      </c>
      <c r="L21" s="34"/>
      <c r="M21" s="60" t="s">
        <v>158</v>
      </c>
      <c r="N21" s="61" t="s">
        <v>55</v>
      </c>
      <c r="O21" s="71">
        <f>O11*0.59</f>
        <v>0.53100000000000003</v>
      </c>
      <c r="P21" s="71"/>
      <c r="Q21" s="189">
        <f t="shared" si="67"/>
        <v>0.53100000000000003</v>
      </c>
      <c r="R21" s="97">
        <f t="shared" si="68"/>
        <v>1000</v>
      </c>
      <c r="S21" s="35"/>
      <c r="T21" s="63">
        <f>SUM(BL5:BL38)</f>
        <v>1.1341462760160281</v>
      </c>
      <c r="U21" s="200"/>
      <c r="V21" s="8"/>
      <c r="W21" s="71">
        <f>W11*0.59</f>
        <v>0.47199999999999998</v>
      </c>
      <c r="X21" s="15"/>
      <c r="Y21" s="71"/>
      <c r="Z21" s="10"/>
      <c r="AA21" s="200"/>
      <c r="AB21" s="143" t="s">
        <v>19</v>
      </c>
      <c r="AC21" s="43">
        <v>5712</v>
      </c>
      <c r="AD21" s="42">
        <f t="shared" si="0"/>
        <v>0</v>
      </c>
      <c r="AE21" s="45">
        <v>85.75</v>
      </c>
      <c r="AF21" s="44">
        <f t="shared" si="1"/>
        <v>0</v>
      </c>
      <c r="AG21" s="47"/>
      <c r="AH21" s="46"/>
      <c r="AI21" s="47"/>
      <c r="AJ21" s="46"/>
      <c r="AK21" s="47"/>
      <c r="AL21" s="46"/>
      <c r="AM21" s="47"/>
      <c r="AN21" s="46">
        <f t="shared" si="5"/>
        <v>0</v>
      </c>
      <c r="AO21" s="47">
        <v>0.5</v>
      </c>
      <c r="AP21" s="46">
        <f t="shared" si="6"/>
        <v>0</v>
      </c>
      <c r="AQ21" s="47"/>
      <c r="AR21" s="46">
        <f t="shared" si="7"/>
        <v>0</v>
      </c>
      <c r="AS21" s="47"/>
      <c r="AT21" s="46">
        <f t="shared" si="8"/>
        <v>0</v>
      </c>
      <c r="AU21" s="47"/>
      <c r="AV21" s="46">
        <f t="shared" si="9"/>
        <v>0</v>
      </c>
      <c r="AW21" s="47"/>
      <c r="AX21" s="46">
        <f t="shared" si="10"/>
        <v>0</v>
      </c>
      <c r="AY21" s="47">
        <v>98</v>
      </c>
      <c r="AZ21" s="46">
        <f t="shared" si="11"/>
        <v>0</v>
      </c>
      <c r="BA21" s="47"/>
      <c r="BB21" s="46">
        <f t="shared" si="12"/>
        <v>0</v>
      </c>
      <c r="BC21" s="47"/>
      <c r="BD21" s="46">
        <f t="shared" si="13"/>
        <v>0</v>
      </c>
      <c r="BE21" s="47"/>
      <c r="BF21" s="46">
        <f t="shared" si="14"/>
        <v>0</v>
      </c>
      <c r="BG21" s="47"/>
      <c r="BH21" s="46">
        <f t="shared" si="15"/>
        <v>0</v>
      </c>
      <c r="BI21" s="47"/>
      <c r="BJ21" s="46"/>
      <c r="BK21" s="47"/>
      <c r="BL21" s="46"/>
      <c r="BM21" s="47"/>
      <c r="BN21" s="47"/>
      <c r="BO21" s="46"/>
      <c r="BP21" s="47"/>
      <c r="BQ21" s="48"/>
      <c r="BR21" s="48"/>
      <c r="BS21" s="47"/>
      <c r="BT21" s="46">
        <f t="shared" si="21"/>
        <v>0</v>
      </c>
      <c r="BU21" s="47"/>
      <c r="BV21" s="46">
        <f t="shared" si="22"/>
        <v>0</v>
      </c>
      <c r="BW21" s="47"/>
      <c r="BX21" s="46">
        <f t="shared" si="23"/>
        <v>0</v>
      </c>
      <c r="BY21" s="47"/>
      <c r="BZ21" s="46">
        <f t="shared" si="24"/>
        <v>0</v>
      </c>
      <c r="CA21" s="47"/>
      <c r="CB21" s="46">
        <f t="shared" si="25"/>
        <v>0</v>
      </c>
      <c r="CC21" s="47"/>
      <c r="CD21" s="46">
        <f t="shared" si="26"/>
        <v>0</v>
      </c>
      <c r="CE21" s="47"/>
      <c r="CF21" s="46">
        <f t="shared" si="27"/>
        <v>0</v>
      </c>
      <c r="CG21" s="47"/>
      <c r="CH21" s="46">
        <f t="shared" si="28"/>
        <v>0</v>
      </c>
      <c r="CI21" s="43"/>
      <c r="CJ21" s="42">
        <f t="shared" si="30"/>
        <v>0</v>
      </c>
      <c r="CK21" s="47"/>
      <c r="CL21" s="46">
        <f t="shared" si="31"/>
        <v>0</v>
      </c>
      <c r="CM21" s="47"/>
      <c r="CN21" s="46">
        <f t="shared" si="32"/>
        <v>0</v>
      </c>
      <c r="CO21" s="47"/>
      <c r="CP21" s="46">
        <f t="shared" si="33"/>
        <v>0</v>
      </c>
      <c r="CQ21" s="47"/>
      <c r="CR21" s="46">
        <f t="shared" si="34"/>
        <v>0</v>
      </c>
      <c r="CS21" s="47"/>
      <c r="CT21" s="46">
        <f t="shared" si="35"/>
        <v>0</v>
      </c>
      <c r="CU21" s="47"/>
      <c r="CV21" s="46">
        <f t="shared" si="37"/>
        <v>0</v>
      </c>
      <c r="CW21" s="47"/>
      <c r="CX21" s="46"/>
      <c r="CY21" s="28">
        <v>0.7</v>
      </c>
      <c r="CZ21" s="46">
        <f t="shared" si="38"/>
        <v>0</v>
      </c>
      <c r="DA21" s="28">
        <v>2</v>
      </c>
      <c r="DB21" s="35">
        <f t="shared" si="39"/>
        <v>0</v>
      </c>
      <c r="DC21" s="45">
        <v>98</v>
      </c>
      <c r="DD21" s="46">
        <f t="shared" si="40"/>
        <v>0</v>
      </c>
      <c r="DE21" s="145"/>
      <c r="DF21" s="28"/>
      <c r="DG21" s="28"/>
      <c r="DH21" s="28"/>
      <c r="DI21" s="28"/>
      <c r="DJ21" s="28"/>
      <c r="DK21" s="28"/>
      <c r="DL21" s="39"/>
      <c r="DM21" s="34"/>
      <c r="DN21" s="34"/>
      <c r="DO21" s="34"/>
      <c r="DP21" s="34"/>
      <c r="DQ21" s="34"/>
    </row>
    <row r="22" spans="1:121" s="32" customFormat="1" x14ac:dyDescent="0.35">
      <c r="A22" s="34"/>
      <c r="B22" s="23">
        <v>400000</v>
      </c>
      <c r="C22" s="38">
        <f t="shared" si="69"/>
        <v>0</v>
      </c>
      <c r="D22" s="113" t="s">
        <v>20</v>
      </c>
      <c r="E22" s="161">
        <f t="shared" si="66"/>
        <v>0</v>
      </c>
      <c r="F22" s="120">
        <v>0</v>
      </c>
      <c r="G22" s="36"/>
      <c r="H22" s="213"/>
      <c r="I22" s="87"/>
      <c r="J22" s="99">
        <f t="shared" si="55"/>
        <v>0</v>
      </c>
      <c r="K22" s="100">
        <f t="shared" si="56"/>
        <v>100</v>
      </c>
      <c r="L22" s="34"/>
      <c r="M22" s="88" t="s">
        <v>159</v>
      </c>
      <c r="N22" s="89" t="s">
        <v>55</v>
      </c>
      <c r="O22" s="116">
        <f>O11*2.25</f>
        <v>2.0249999999999999</v>
      </c>
      <c r="P22" s="12"/>
      <c r="Q22" s="117">
        <f t="shared" si="67"/>
        <v>2.0249999999999999</v>
      </c>
      <c r="R22" s="99">
        <f t="shared" si="68"/>
        <v>1000</v>
      </c>
      <c r="S22" s="79"/>
      <c r="T22" s="86">
        <f>SUM(BO5:BO38)</f>
        <v>2.0249999999999888</v>
      </c>
      <c r="U22" s="200"/>
      <c r="V22" s="8"/>
      <c r="W22" s="116">
        <f>W11*2.25</f>
        <v>1.8</v>
      </c>
      <c r="X22" s="15"/>
      <c r="Y22" s="12"/>
      <c r="Z22" s="10"/>
      <c r="AA22" s="200"/>
      <c r="AB22" s="144" t="s">
        <v>20</v>
      </c>
      <c r="AC22" s="49">
        <v>4983</v>
      </c>
      <c r="AD22" s="72">
        <f t="shared" si="0"/>
        <v>0</v>
      </c>
      <c r="AE22" s="50">
        <v>74.75</v>
      </c>
      <c r="AF22" s="73">
        <f t="shared" si="1"/>
        <v>0</v>
      </c>
      <c r="AG22" s="75"/>
      <c r="AH22" s="74"/>
      <c r="AI22" s="75"/>
      <c r="AJ22" s="74"/>
      <c r="AK22" s="75"/>
      <c r="AL22" s="74"/>
      <c r="AM22" s="51"/>
      <c r="AN22" s="74">
        <f t="shared" si="5"/>
        <v>0</v>
      </c>
      <c r="AO22" s="75">
        <v>0.5</v>
      </c>
      <c r="AP22" s="74">
        <f t="shared" si="6"/>
        <v>0</v>
      </c>
      <c r="AQ22" s="51"/>
      <c r="AR22" s="131"/>
      <c r="AS22" s="51"/>
      <c r="AT22" s="131"/>
      <c r="AU22" s="51"/>
      <c r="AV22" s="131"/>
      <c r="AW22" s="51"/>
      <c r="AX22" s="131"/>
      <c r="AY22" s="51"/>
      <c r="AZ22" s="131"/>
      <c r="BA22" s="51"/>
      <c r="BB22" s="131">
        <f t="shared" si="12"/>
        <v>0</v>
      </c>
      <c r="BC22" s="51"/>
      <c r="BD22" s="131">
        <f t="shared" si="13"/>
        <v>0</v>
      </c>
      <c r="BE22" s="51"/>
      <c r="BF22" s="131">
        <f t="shared" si="14"/>
        <v>0</v>
      </c>
      <c r="BG22" s="51">
        <v>99</v>
      </c>
      <c r="BH22" s="131">
        <f t="shared" si="15"/>
        <v>0</v>
      </c>
      <c r="BI22" s="51"/>
      <c r="BJ22" s="131"/>
      <c r="BK22" s="51"/>
      <c r="BL22" s="131"/>
      <c r="BM22" s="51"/>
      <c r="BN22" s="51"/>
      <c r="BO22" s="131"/>
      <c r="BP22" s="51"/>
      <c r="BQ22" s="52"/>
      <c r="BR22" s="52"/>
      <c r="BS22" s="51"/>
      <c r="BT22" s="74">
        <f t="shared" si="21"/>
        <v>0</v>
      </c>
      <c r="BU22" s="51"/>
      <c r="BV22" s="74">
        <f t="shared" si="22"/>
        <v>0</v>
      </c>
      <c r="BW22" s="51"/>
      <c r="BX22" s="74">
        <f t="shared" si="23"/>
        <v>0</v>
      </c>
      <c r="BY22" s="75"/>
      <c r="BZ22" s="74">
        <f t="shared" si="24"/>
        <v>0</v>
      </c>
      <c r="CA22" s="75"/>
      <c r="CB22" s="74">
        <f t="shared" si="25"/>
        <v>0</v>
      </c>
      <c r="CC22" s="75"/>
      <c r="CD22" s="74">
        <f t="shared" si="26"/>
        <v>0</v>
      </c>
      <c r="CE22" s="75"/>
      <c r="CF22" s="74">
        <f t="shared" si="27"/>
        <v>0</v>
      </c>
      <c r="CG22" s="75"/>
      <c r="CH22" s="74">
        <f t="shared" si="28"/>
        <v>0</v>
      </c>
      <c r="CI22" s="77"/>
      <c r="CJ22" s="72">
        <f t="shared" si="30"/>
        <v>0</v>
      </c>
      <c r="CK22" s="75"/>
      <c r="CL22" s="74">
        <f t="shared" si="31"/>
        <v>0</v>
      </c>
      <c r="CM22" s="75"/>
      <c r="CN22" s="74">
        <f t="shared" si="32"/>
        <v>0</v>
      </c>
      <c r="CO22" s="75"/>
      <c r="CP22" s="74">
        <f t="shared" si="33"/>
        <v>0</v>
      </c>
      <c r="CQ22" s="75"/>
      <c r="CR22" s="74">
        <f t="shared" si="34"/>
        <v>0</v>
      </c>
      <c r="CS22" s="51"/>
      <c r="CT22" s="131">
        <f t="shared" si="35"/>
        <v>0</v>
      </c>
      <c r="CU22" s="51"/>
      <c r="CV22" s="131">
        <f t="shared" si="37"/>
        <v>0</v>
      </c>
      <c r="CW22" s="51"/>
      <c r="CX22" s="131"/>
      <c r="CY22" s="158">
        <v>0.7</v>
      </c>
      <c r="CZ22" s="74">
        <f t="shared" si="38"/>
        <v>0</v>
      </c>
      <c r="DA22" s="54">
        <v>2</v>
      </c>
      <c r="DB22" s="79">
        <f t="shared" si="39"/>
        <v>0</v>
      </c>
      <c r="DC22" s="50">
        <v>98</v>
      </c>
      <c r="DD22" s="74">
        <f t="shared" si="40"/>
        <v>0</v>
      </c>
      <c r="DE22" s="146"/>
      <c r="DF22" s="158"/>
      <c r="DG22" s="158"/>
      <c r="DH22" s="158"/>
      <c r="DI22" s="158"/>
      <c r="DJ22" s="158"/>
      <c r="DK22" s="158"/>
      <c r="DL22" s="87"/>
      <c r="DM22" s="34"/>
      <c r="DN22" s="34"/>
      <c r="DO22" s="34"/>
      <c r="DP22" s="34"/>
      <c r="DQ22" s="34"/>
    </row>
    <row r="23" spans="1:121" s="32" customFormat="1" x14ac:dyDescent="0.35">
      <c r="A23" s="34"/>
      <c r="B23" s="59">
        <v>600000</v>
      </c>
      <c r="C23" s="58">
        <f t="shared" si="69"/>
        <v>0</v>
      </c>
      <c r="D23" s="114" t="s">
        <v>86</v>
      </c>
      <c r="E23" s="119">
        <f t="shared" si="66"/>
        <v>0</v>
      </c>
      <c r="F23" s="119">
        <v>0</v>
      </c>
      <c r="G23" s="35"/>
      <c r="H23" s="212"/>
      <c r="I23" s="39"/>
      <c r="J23" s="97">
        <f t="shared" si="55"/>
        <v>0</v>
      </c>
      <c r="K23" s="98">
        <f t="shared" si="56"/>
        <v>100</v>
      </c>
      <c r="L23" s="34"/>
      <c r="M23" s="60" t="s">
        <v>77</v>
      </c>
      <c r="N23" s="61" t="s">
        <v>55</v>
      </c>
      <c r="O23" s="71">
        <v>0.5</v>
      </c>
      <c r="P23" s="71">
        <v>1.5</v>
      </c>
      <c r="Q23" s="106">
        <f t="shared" ref="Q23:Q30" si="70">IF((O23)="",0,(O23))</f>
        <v>0.5</v>
      </c>
      <c r="R23" s="97">
        <f t="shared" ref="R23:R30" si="71">IF((P23)="",1000,(P23))</f>
        <v>1.5</v>
      </c>
      <c r="S23" s="35"/>
      <c r="T23" s="63">
        <f>SUM(BT5:BT38)</f>
        <v>1.4999999999999336</v>
      </c>
      <c r="U23" s="34"/>
      <c r="V23" s="8"/>
      <c r="W23" s="71">
        <v>0.5</v>
      </c>
      <c r="X23" s="15"/>
      <c r="Y23" s="71">
        <v>1.5</v>
      </c>
      <c r="Z23" s="10"/>
      <c r="AA23" s="34"/>
      <c r="AB23" s="143" t="s">
        <v>86</v>
      </c>
      <c r="AC23" s="43">
        <v>2836</v>
      </c>
      <c r="AD23" s="42">
        <f t="shared" si="0"/>
        <v>0</v>
      </c>
      <c r="AE23" s="45">
        <v>65.8</v>
      </c>
      <c r="AF23" s="44">
        <f t="shared" si="1"/>
        <v>0</v>
      </c>
      <c r="AG23" s="47"/>
      <c r="AH23" s="46"/>
      <c r="AI23" s="47"/>
      <c r="AJ23" s="46"/>
      <c r="AK23" s="47"/>
      <c r="AL23" s="46"/>
      <c r="AM23" s="47"/>
      <c r="AN23" s="46">
        <f t="shared" si="5"/>
        <v>0</v>
      </c>
      <c r="AO23" s="47">
        <v>0.5</v>
      </c>
      <c r="AP23" s="46">
        <f t="shared" si="6"/>
        <v>0</v>
      </c>
      <c r="AQ23" s="47"/>
      <c r="AR23" s="46"/>
      <c r="AS23" s="47"/>
      <c r="AT23" s="46"/>
      <c r="AU23" s="47"/>
      <c r="AV23" s="46"/>
      <c r="AW23" s="47"/>
      <c r="AX23" s="46"/>
      <c r="AY23" s="47"/>
      <c r="AZ23" s="46"/>
      <c r="BA23" s="47"/>
      <c r="BB23" s="46">
        <f t="shared" si="12"/>
        <v>0</v>
      </c>
      <c r="BC23" s="47">
        <v>90</v>
      </c>
      <c r="BD23" s="46">
        <f t="shared" si="13"/>
        <v>0</v>
      </c>
      <c r="BE23" s="47"/>
      <c r="BF23" s="46">
        <f t="shared" si="14"/>
        <v>0</v>
      </c>
      <c r="BG23" s="47"/>
      <c r="BH23" s="46">
        <f t="shared" si="15"/>
        <v>0</v>
      </c>
      <c r="BI23" s="47"/>
      <c r="BJ23" s="46"/>
      <c r="BK23" s="47"/>
      <c r="BL23" s="46"/>
      <c r="BM23" s="47"/>
      <c r="BN23" s="47"/>
      <c r="BO23" s="46"/>
      <c r="BP23" s="47"/>
      <c r="BQ23" s="48"/>
      <c r="BR23" s="48"/>
      <c r="BS23" s="47"/>
      <c r="BT23" s="46">
        <f t="shared" si="21"/>
        <v>0</v>
      </c>
      <c r="BU23" s="47"/>
      <c r="BV23" s="46">
        <f t="shared" si="22"/>
        <v>0</v>
      </c>
      <c r="BW23" s="47"/>
      <c r="BX23" s="46">
        <f t="shared" si="23"/>
        <v>0</v>
      </c>
      <c r="BY23" s="47"/>
      <c r="BZ23" s="46">
        <f t="shared" si="24"/>
        <v>0</v>
      </c>
      <c r="CA23" s="47"/>
      <c r="CB23" s="46">
        <f t="shared" si="25"/>
        <v>0</v>
      </c>
      <c r="CC23" s="47"/>
      <c r="CD23" s="46">
        <f t="shared" si="26"/>
        <v>0</v>
      </c>
      <c r="CE23" s="47"/>
      <c r="CF23" s="46">
        <f t="shared" si="27"/>
        <v>0</v>
      </c>
      <c r="CG23" s="47"/>
      <c r="CH23" s="46">
        <f t="shared" si="28"/>
        <v>0</v>
      </c>
      <c r="CI23" s="43"/>
      <c r="CJ23" s="42">
        <f t="shared" si="30"/>
        <v>0</v>
      </c>
      <c r="CK23" s="47"/>
      <c r="CL23" s="46">
        <f t="shared" si="31"/>
        <v>0</v>
      </c>
      <c r="CM23" s="47"/>
      <c r="CN23" s="46">
        <f t="shared" si="32"/>
        <v>0</v>
      </c>
      <c r="CO23" s="47"/>
      <c r="CP23" s="46">
        <f t="shared" si="33"/>
        <v>0</v>
      </c>
      <c r="CQ23" s="47"/>
      <c r="CR23" s="46">
        <f t="shared" si="34"/>
        <v>0</v>
      </c>
      <c r="CS23" s="47"/>
      <c r="CT23" s="46">
        <f t="shared" si="35"/>
        <v>0</v>
      </c>
      <c r="CU23" s="47"/>
      <c r="CV23" s="46">
        <f t="shared" si="37"/>
        <v>0</v>
      </c>
      <c r="CW23" s="47"/>
      <c r="CX23" s="46"/>
      <c r="CY23" s="28">
        <v>0.7</v>
      </c>
      <c r="CZ23" s="46">
        <f t="shared" si="38"/>
        <v>0</v>
      </c>
      <c r="DA23" s="28">
        <v>2</v>
      </c>
      <c r="DB23" s="35">
        <f t="shared" si="39"/>
        <v>0</v>
      </c>
      <c r="DC23" s="45">
        <v>98</v>
      </c>
      <c r="DD23" s="46">
        <f t="shared" si="40"/>
        <v>0</v>
      </c>
      <c r="DE23" s="145"/>
      <c r="DF23" s="28"/>
      <c r="DG23" s="28"/>
      <c r="DH23" s="28"/>
      <c r="DI23" s="28"/>
      <c r="DJ23" s="28"/>
      <c r="DK23" s="28"/>
      <c r="DL23" s="39"/>
      <c r="DM23" s="34"/>
      <c r="DN23" s="34"/>
      <c r="DO23" s="34"/>
      <c r="DP23" s="34"/>
      <c r="DQ23" s="34"/>
    </row>
    <row r="24" spans="1:121" s="32" customFormat="1" x14ac:dyDescent="0.35">
      <c r="A24" s="34"/>
      <c r="B24" s="23">
        <v>500000</v>
      </c>
      <c r="C24" s="38">
        <f t="shared" si="69"/>
        <v>0</v>
      </c>
      <c r="D24" s="113" t="s">
        <v>34</v>
      </c>
      <c r="E24" s="161">
        <f t="shared" si="66"/>
        <v>0</v>
      </c>
      <c r="F24" s="120">
        <v>0</v>
      </c>
      <c r="G24" s="36"/>
      <c r="H24" s="213"/>
      <c r="I24" s="87"/>
      <c r="J24" s="99">
        <f t="shared" si="55"/>
        <v>0</v>
      </c>
      <c r="K24" s="100">
        <f t="shared" si="56"/>
        <v>100</v>
      </c>
      <c r="L24" s="34"/>
      <c r="M24" s="1" t="s">
        <v>85</v>
      </c>
      <c r="N24" s="27" t="s">
        <v>55</v>
      </c>
      <c r="O24" s="12">
        <v>0.5</v>
      </c>
      <c r="P24" s="116">
        <v>0.7</v>
      </c>
      <c r="Q24" s="117">
        <f t="shared" si="70"/>
        <v>0.5</v>
      </c>
      <c r="R24" s="99">
        <f t="shared" si="71"/>
        <v>0.7</v>
      </c>
      <c r="S24" s="36"/>
      <c r="T24" s="2">
        <f>SUM(BX5:BX38)</f>
        <v>0.50000000000022538</v>
      </c>
      <c r="U24" s="34"/>
      <c r="V24" s="8"/>
      <c r="W24" s="12">
        <v>0.5</v>
      </c>
      <c r="X24" s="15"/>
      <c r="Y24" s="12">
        <v>0.7</v>
      </c>
      <c r="Z24" s="10"/>
      <c r="AA24" s="34"/>
      <c r="AB24" s="144" t="s">
        <v>34</v>
      </c>
      <c r="AC24" s="49">
        <v>2940</v>
      </c>
      <c r="AD24" s="72">
        <f t="shared" si="0"/>
        <v>0</v>
      </c>
      <c r="AE24" s="50">
        <v>201</v>
      </c>
      <c r="AF24" s="73">
        <f t="shared" si="1"/>
        <v>0</v>
      </c>
      <c r="AG24" s="75"/>
      <c r="AH24" s="74"/>
      <c r="AI24" s="75"/>
      <c r="AJ24" s="74"/>
      <c r="AK24" s="75"/>
      <c r="AL24" s="74"/>
      <c r="AM24" s="51"/>
      <c r="AN24" s="74">
        <f t="shared" si="5"/>
        <v>0</v>
      </c>
      <c r="AO24" s="75">
        <v>0.5</v>
      </c>
      <c r="AP24" s="74">
        <f t="shared" si="6"/>
        <v>0</v>
      </c>
      <c r="AQ24" s="51"/>
      <c r="AR24" s="131"/>
      <c r="AS24" s="51"/>
      <c r="AT24" s="131"/>
      <c r="AU24" s="51"/>
      <c r="AV24" s="131"/>
      <c r="AW24" s="51"/>
      <c r="AX24" s="131"/>
      <c r="AY24" s="51"/>
      <c r="AZ24" s="131"/>
      <c r="BA24" s="51">
        <v>99</v>
      </c>
      <c r="BB24" s="131">
        <f t="shared" si="12"/>
        <v>0</v>
      </c>
      <c r="BC24" s="51"/>
      <c r="BD24" s="131">
        <f t="shared" si="13"/>
        <v>0</v>
      </c>
      <c r="BE24" s="51"/>
      <c r="BF24" s="131">
        <f t="shared" si="14"/>
        <v>0</v>
      </c>
      <c r="BG24" s="51"/>
      <c r="BH24" s="131">
        <f t="shared" si="15"/>
        <v>0</v>
      </c>
      <c r="BI24" s="51"/>
      <c r="BJ24" s="131"/>
      <c r="BK24" s="51"/>
      <c r="BL24" s="131"/>
      <c r="BM24" s="51"/>
      <c r="BN24" s="51"/>
      <c r="BO24" s="131"/>
      <c r="BP24" s="51"/>
      <c r="BQ24" s="52"/>
      <c r="BR24" s="52"/>
      <c r="BS24" s="51"/>
      <c r="BT24" s="74">
        <f t="shared" si="21"/>
        <v>0</v>
      </c>
      <c r="BU24" s="75"/>
      <c r="BV24" s="74">
        <f t="shared" si="22"/>
        <v>0</v>
      </c>
      <c r="BW24" s="75"/>
      <c r="BX24" s="74">
        <f t="shared" si="23"/>
        <v>0</v>
      </c>
      <c r="BY24" s="75"/>
      <c r="BZ24" s="74">
        <f t="shared" si="24"/>
        <v>0</v>
      </c>
      <c r="CA24" s="75"/>
      <c r="CB24" s="74">
        <f t="shared" si="25"/>
        <v>0</v>
      </c>
      <c r="CC24" s="75"/>
      <c r="CD24" s="74">
        <f t="shared" si="26"/>
        <v>0</v>
      </c>
      <c r="CE24" s="75"/>
      <c r="CF24" s="74">
        <f t="shared" si="27"/>
        <v>0</v>
      </c>
      <c r="CG24" s="75"/>
      <c r="CH24" s="74">
        <f t="shared" si="28"/>
        <v>0</v>
      </c>
      <c r="CI24" s="77"/>
      <c r="CJ24" s="72">
        <f t="shared" si="30"/>
        <v>0</v>
      </c>
      <c r="CK24" s="75"/>
      <c r="CL24" s="74">
        <f t="shared" si="31"/>
        <v>0</v>
      </c>
      <c r="CM24" s="75"/>
      <c r="CN24" s="74">
        <f t="shared" si="32"/>
        <v>0</v>
      </c>
      <c r="CO24" s="75"/>
      <c r="CP24" s="74">
        <f t="shared" si="33"/>
        <v>0</v>
      </c>
      <c r="CQ24" s="75"/>
      <c r="CR24" s="74">
        <f t="shared" si="34"/>
        <v>0</v>
      </c>
      <c r="CS24" s="51"/>
      <c r="CT24" s="131">
        <f t="shared" si="35"/>
        <v>0</v>
      </c>
      <c r="CU24" s="51"/>
      <c r="CV24" s="131">
        <f t="shared" si="37"/>
        <v>0</v>
      </c>
      <c r="CW24" s="51"/>
      <c r="CX24" s="131"/>
      <c r="CY24" s="158">
        <v>0.7</v>
      </c>
      <c r="CZ24" s="74">
        <f t="shared" si="38"/>
        <v>0</v>
      </c>
      <c r="DA24" s="54">
        <v>2</v>
      </c>
      <c r="DB24" s="79">
        <f t="shared" si="39"/>
        <v>0</v>
      </c>
      <c r="DC24" s="50">
        <v>98</v>
      </c>
      <c r="DD24" s="74">
        <f t="shared" si="40"/>
        <v>0</v>
      </c>
      <c r="DE24" s="146"/>
      <c r="DF24" s="158"/>
      <c r="DG24" s="158"/>
      <c r="DH24" s="158"/>
      <c r="DI24" s="158"/>
      <c r="DJ24" s="158"/>
      <c r="DK24" s="158"/>
      <c r="DL24" s="87"/>
      <c r="DM24" s="34"/>
      <c r="DN24" s="34"/>
      <c r="DO24" s="34"/>
      <c r="DP24" s="34"/>
      <c r="DQ24" s="34"/>
    </row>
    <row r="25" spans="1:121" s="32" customFormat="1" x14ac:dyDescent="0.35">
      <c r="A25" s="34"/>
      <c r="B25" s="59">
        <v>45000</v>
      </c>
      <c r="C25" s="58">
        <f t="shared" si="69"/>
        <v>0</v>
      </c>
      <c r="D25" s="114" t="s">
        <v>21</v>
      </c>
      <c r="E25" s="119">
        <f t="shared" si="66"/>
        <v>0</v>
      </c>
      <c r="F25" s="119">
        <v>0</v>
      </c>
      <c r="G25" s="35"/>
      <c r="H25" s="212"/>
      <c r="I25" s="39"/>
      <c r="J25" s="97">
        <f t="shared" si="55"/>
        <v>0</v>
      </c>
      <c r="K25" s="98">
        <f t="shared" si="56"/>
        <v>100</v>
      </c>
      <c r="L25" s="34"/>
      <c r="M25" s="60" t="s">
        <v>78</v>
      </c>
      <c r="N25" s="61" t="s">
        <v>55</v>
      </c>
      <c r="O25" s="71">
        <v>0.2</v>
      </c>
      <c r="P25" s="109"/>
      <c r="Q25" s="106">
        <f t="shared" si="70"/>
        <v>0.2</v>
      </c>
      <c r="R25" s="97">
        <f t="shared" si="71"/>
        <v>1000</v>
      </c>
      <c r="S25" s="35"/>
      <c r="T25" s="63">
        <f>SUM(CB5:CB38)</f>
        <v>0.19999999999999823</v>
      </c>
      <c r="U25" s="34"/>
      <c r="V25" s="8"/>
      <c r="W25" s="71">
        <v>0.16</v>
      </c>
      <c r="X25" s="15"/>
      <c r="Y25" s="71">
        <v>0.2</v>
      </c>
      <c r="Z25" s="10"/>
      <c r="AA25" s="34"/>
      <c r="AB25" s="143" t="s">
        <v>21</v>
      </c>
      <c r="AC25" s="43"/>
      <c r="AD25" s="42">
        <f t="shared" si="0"/>
        <v>0</v>
      </c>
      <c r="AE25" s="45"/>
      <c r="AF25" s="44">
        <f t="shared" si="1"/>
        <v>0</v>
      </c>
      <c r="AG25" s="47"/>
      <c r="AH25" s="46"/>
      <c r="AI25" s="47"/>
      <c r="AJ25" s="46"/>
      <c r="AK25" s="47"/>
      <c r="AL25" s="46"/>
      <c r="AM25" s="47"/>
      <c r="AN25" s="46">
        <f t="shared" si="5"/>
        <v>0</v>
      </c>
      <c r="AO25" s="47">
        <v>99</v>
      </c>
      <c r="AP25" s="46">
        <f t="shared" si="6"/>
        <v>0</v>
      </c>
      <c r="AQ25" s="47"/>
      <c r="AR25" s="46"/>
      <c r="AS25" s="47"/>
      <c r="AT25" s="46"/>
      <c r="AU25" s="47"/>
      <c r="AV25" s="46"/>
      <c r="AW25" s="47"/>
      <c r="AX25" s="46"/>
      <c r="AY25" s="47"/>
      <c r="AZ25" s="46"/>
      <c r="BA25" s="47"/>
      <c r="BB25" s="46"/>
      <c r="BC25" s="47"/>
      <c r="BD25" s="46"/>
      <c r="BE25" s="47"/>
      <c r="BF25" s="46"/>
      <c r="BG25" s="47"/>
      <c r="BH25" s="46"/>
      <c r="BI25" s="47"/>
      <c r="BJ25" s="46"/>
      <c r="BK25" s="47"/>
      <c r="BL25" s="46"/>
      <c r="BM25" s="47"/>
      <c r="BN25" s="47"/>
      <c r="BO25" s="46"/>
      <c r="BP25" s="47"/>
      <c r="BQ25" s="48"/>
      <c r="BR25" s="48"/>
      <c r="BS25" s="47">
        <v>22</v>
      </c>
      <c r="BT25" s="46">
        <f t="shared" si="21"/>
        <v>0</v>
      </c>
      <c r="BU25" s="47">
        <v>19</v>
      </c>
      <c r="BV25" s="46">
        <f t="shared" si="22"/>
        <v>0</v>
      </c>
      <c r="BW25" s="47">
        <f>BU25*0.85</f>
        <v>16.149999999999999</v>
      </c>
      <c r="BX25" s="46">
        <f t="shared" si="23"/>
        <v>0</v>
      </c>
      <c r="BY25" s="47">
        <v>0.91</v>
      </c>
      <c r="BZ25" s="46">
        <f t="shared" si="24"/>
        <v>0</v>
      </c>
      <c r="CA25" s="47"/>
      <c r="CB25" s="46">
        <f t="shared" si="25"/>
        <v>0</v>
      </c>
      <c r="CC25" s="47"/>
      <c r="CD25" s="46">
        <f t="shared" si="26"/>
        <v>0</v>
      </c>
      <c r="CE25" s="47"/>
      <c r="CF25" s="46">
        <f t="shared" si="27"/>
        <v>0</v>
      </c>
      <c r="CG25" s="47"/>
      <c r="CH25" s="46">
        <f t="shared" si="28"/>
        <v>0</v>
      </c>
      <c r="CI25" s="43"/>
      <c r="CJ25" s="42">
        <f t="shared" si="30"/>
        <v>0</v>
      </c>
      <c r="CK25" s="47"/>
      <c r="CL25" s="46">
        <f t="shared" si="31"/>
        <v>0</v>
      </c>
      <c r="CM25" s="47"/>
      <c r="CN25" s="46">
        <f t="shared" si="32"/>
        <v>0</v>
      </c>
      <c r="CO25" s="47"/>
      <c r="CP25" s="46">
        <f t="shared" si="33"/>
        <v>0</v>
      </c>
      <c r="CQ25" s="47"/>
      <c r="CR25" s="46">
        <f t="shared" si="34"/>
        <v>0</v>
      </c>
      <c r="CS25" s="47"/>
      <c r="CT25" s="46">
        <f t="shared" si="35"/>
        <v>0</v>
      </c>
      <c r="CU25" s="47"/>
      <c r="CV25" s="46">
        <f t="shared" si="37"/>
        <v>0</v>
      </c>
      <c r="CW25" s="47"/>
      <c r="CX25" s="46"/>
      <c r="CY25" s="28">
        <v>1</v>
      </c>
      <c r="CZ25" s="46">
        <f t="shared" si="38"/>
        <v>0</v>
      </c>
      <c r="DA25" s="28">
        <v>2</v>
      </c>
      <c r="DB25" s="35">
        <f t="shared" si="39"/>
        <v>0</v>
      </c>
      <c r="DC25" s="45">
        <v>98</v>
      </c>
      <c r="DD25" s="46">
        <f t="shared" si="40"/>
        <v>0</v>
      </c>
      <c r="DE25" s="145"/>
      <c r="DF25" s="28"/>
      <c r="DG25" s="28"/>
      <c r="DH25" s="28"/>
      <c r="DI25" s="28"/>
      <c r="DJ25" s="28"/>
      <c r="DK25" s="28"/>
      <c r="DL25" s="39"/>
      <c r="DM25" s="34"/>
      <c r="DN25" s="34"/>
      <c r="DO25" s="34"/>
      <c r="DP25" s="34"/>
      <c r="DQ25" s="34"/>
    </row>
    <row r="26" spans="1:121" s="32" customFormat="1" x14ac:dyDescent="0.35">
      <c r="A26" s="34"/>
      <c r="B26" s="23">
        <v>55000</v>
      </c>
      <c r="C26" s="38">
        <f t="shared" si="69"/>
        <v>143.30815407965116</v>
      </c>
      <c r="D26" s="113" t="s">
        <v>22</v>
      </c>
      <c r="E26" s="161">
        <f t="shared" si="66"/>
        <v>2.6056028014481774</v>
      </c>
      <c r="F26" s="120">
        <v>0.2605602801448203</v>
      </c>
      <c r="G26" s="30"/>
      <c r="H26" s="215"/>
      <c r="I26" s="87"/>
      <c r="J26" s="163">
        <f t="shared" si="55"/>
        <v>0</v>
      </c>
      <c r="K26" s="164">
        <f t="shared" si="56"/>
        <v>100</v>
      </c>
      <c r="L26" s="34"/>
      <c r="M26" s="88" t="s">
        <v>79</v>
      </c>
      <c r="N26" s="89" t="s">
        <v>55</v>
      </c>
      <c r="O26" s="12">
        <v>0.6</v>
      </c>
      <c r="P26" s="188"/>
      <c r="Q26" s="118">
        <f t="shared" si="70"/>
        <v>0.6</v>
      </c>
      <c r="R26" s="163">
        <f t="shared" si="71"/>
        <v>1000</v>
      </c>
      <c r="S26" s="79"/>
      <c r="T26" s="86">
        <f>SUM(CD5:CD38)</f>
        <v>0.59999999999999543</v>
      </c>
      <c r="U26" s="34"/>
      <c r="V26" s="8"/>
      <c r="W26" s="12">
        <v>0.6</v>
      </c>
      <c r="X26" s="15"/>
      <c r="Y26" s="12">
        <v>1</v>
      </c>
      <c r="Z26" s="10"/>
      <c r="AA26" s="34"/>
      <c r="AB26" s="177" t="s">
        <v>22</v>
      </c>
      <c r="AC26" s="77"/>
      <c r="AD26" s="72">
        <f t="shared" si="0"/>
        <v>0</v>
      </c>
      <c r="AE26" s="78"/>
      <c r="AF26" s="73">
        <f t="shared" si="1"/>
        <v>0</v>
      </c>
      <c r="AG26" s="75"/>
      <c r="AH26" s="74"/>
      <c r="AI26" s="75"/>
      <c r="AJ26" s="74"/>
      <c r="AK26" s="75"/>
      <c r="AL26" s="74"/>
      <c r="AM26" s="75"/>
      <c r="AN26" s="74">
        <f t="shared" si="5"/>
        <v>0</v>
      </c>
      <c r="AO26" s="75">
        <v>99</v>
      </c>
      <c r="AP26" s="74">
        <f t="shared" si="6"/>
        <v>0.25795467734337207</v>
      </c>
      <c r="AQ26" s="75"/>
      <c r="AR26" s="74"/>
      <c r="AS26" s="75"/>
      <c r="AT26" s="74"/>
      <c r="AU26" s="75"/>
      <c r="AV26" s="74"/>
      <c r="AW26" s="75"/>
      <c r="AX26" s="74"/>
      <c r="AY26" s="75"/>
      <c r="AZ26" s="74"/>
      <c r="BA26" s="75"/>
      <c r="BB26" s="74"/>
      <c r="BC26" s="75"/>
      <c r="BD26" s="74"/>
      <c r="BE26" s="75"/>
      <c r="BF26" s="74"/>
      <c r="BG26" s="75"/>
      <c r="BH26" s="74"/>
      <c r="BI26" s="75"/>
      <c r="BJ26" s="74"/>
      <c r="BK26" s="75"/>
      <c r="BL26" s="74"/>
      <c r="BM26" s="75"/>
      <c r="BN26" s="75"/>
      <c r="BO26" s="74"/>
      <c r="BP26" s="75"/>
      <c r="BQ26" s="178"/>
      <c r="BR26" s="178"/>
      <c r="BS26" s="75">
        <v>17.5</v>
      </c>
      <c r="BT26" s="74">
        <f t="shared" si="21"/>
        <v>4.5598049025343548E-2</v>
      </c>
      <c r="BU26" s="75">
        <v>22.5</v>
      </c>
      <c r="BV26" s="74">
        <f t="shared" si="22"/>
        <v>5.8626063032584566E-2</v>
      </c>
      <c r="BW26" s="75">
        <f>BU26*0.95</f>
        <v>21.375</v>
      </c>
      <c r="BX26" s="74">
        <f t="shared" si="23"/>
        <v>5.569475988095534E-2</v>
      </c>
      <c r="BY26" s="75"/>
      <c r="BZ26" s="74">
        <f t="shared" si="24"/>
        <v>0</v>
      </c>
      <c r="CA26" s="75"/>
      <c r="CB26" s="74">
        <f t="shared" si="25"/>
        <v>0</v>
      </c>
      <c r="CC26" s="75"/>
      <c r="CD26" s="74">
        <f t="shared" si="26"/>
        <v>0</v>
      </c>
      <c r="CE26" s="75"/>
      <c r="CF26" s="74">
        <f t="shared" si="27"/>
        <v>0</v>
      </c>
      <c r="CG26" s="75"/>
      <c r="CH26" s="74">
        <f t="shared" si="28"/>
        <v>0</v>
      </c>
      <c r="CI26" s="77"/>
      <c r="CJ26" s="72">
        <f t="shared" si="30"/>
        <v>0</v>
      </c>
      <c r="CK26" s="75"/>
      <c r="CL26" s="74">
        <f t="shared" si="31"/>
        <v>0</v>
      </c>
      <c r="CM26" s="75"/>
      <c r="CN26" s="74">
        <f t="shared" si="32"/>
        <v>0</v>
      </c>
      <c r="CO26" s="75"/>
      <c r="CP26" s="74">
        <f t="shared" si="33"/>
        <v>0</v>
      </c>
      <c r="CQ26" s="75"/>
      <c r="CR26" s="74">
        <f t="shared" si="34"/>
        <v>0</v>
      </c>
      <c r="CS26" s="75"/>
      <c r="CT26" s="74">
        <f t="shared" si="35"/>
        <v>0</v>
      </c>
      <c r="CU26" s="75"/>
      <c r="CV26" s="74">
        <f t="shared" si="37"/>
        <v>0</v>
      </c>
      <c r="CW26" s="75"/>
      <c r="CX26" s="74"/>
      <c r="CY26" s="54">
        <v>1</v>
      </c>
      <c r="CZ26" s="74">
        <f t="shared" si="38"/>
        <v>2.6056028014482032E-3</v>
      </c>
      <c r="DA26" s="54">
        <v>2</v>
      </c>
      <c r="DB26" s="79">
        <f t="shared" si="39"/>
        <v>5.2112056028964064E-3</v>
      </c>
      <c r="DC26" s="78">
        <v>98</v>
      </c>
      <c r="DD26" s="74">
        <f t="shared" si="40"/>
        <v>0.2553490745419239</v>
      </c>
      <c r="DE26" s="179"/>
      <c r="DF26" s="54"/>
      <c r="DG26" s="54"/>
      <c r="DH26" s="54"/>
      <c r="DI26" s="54"/>
      <c r="DJ26" s="54"/>
      <c r="DK26" s="54"/>
      <c r="DL26" s="162"/>
      <c r="DM26" s="34"/>
      <c r="DN26" s="34"/>
      <c r="DO26" s="34"/>
      <c r="DP26" s="34"/>
      <c r="DQ26" s="34"/>
    </row>
    <row r="27" spans="1:121" s="32" customFormat="1" x14ac:dyDescent="0.3">
      <c r="A27" s="34"/>
      <c r="B27" s="59">
        <v>1000</v>
      </c>
      <c r="C27" s="58">
        <f t="shared" si="69"/>
        <v>0</v>
      </c>
      <c r="D27" s="114" t="s">
        <v>23</v>
      </c>
      <c r="E27" s="119">
        <f t="shared" si="66"/>
        <v>0</v>
      </c>
      <c r="F27" s="119">
        <v>0</v>
      </c>
      <c r="G27" s="35"/>
      <c r="H27" s="212"/>
      <c r="I27" s="39"/>
      <c r="J27" s="97">
        <f t="shared" si="55"/>
        <v>0</v>
      </c>
      <c r="K27" s="98">
        <f t="shared" si="56"/>
        <v>100</v>
      </c>
      <c r="L27" s="34"/>
      <c r="M27" s="60" t="s">
        <v>80</v>
      </c>
      <c r="N27" s="61" t="s">
        <v>55</v>
      </c>
      <c r="O27" s="71"/>
      <c r="P27" s="109"/>
      <c r="Q27" s="106">
        <f t="shared" si="70"/>
        <v>0</v>
      </c>
      <c r="R27" s="97">
        <f t="shared" si="71"/>
        <v>1000</v>
      </c>
      <c r="S27" s="35"/>
      <c r="T27" s="63">
        <f>SUM(CF5:CF38)</f>
        <v>0.23196215728216801</v>
      </c>
      <c r="U27" s="34"/>
      <c r="V27" s="8"/>
      <c r="W27" s="71">
        <v>0.16</v>
      </c>
      <c r="X27" s="15"/>
      <c r="Y27" s="71">
        <v>0.24</v>
      </c>
      <c r="Z27" s="10"/>
      <c r="AA27" s="34"/>
      <c r="AB27" s="143" t="s">
        <v>23</v>
      </c>
      <c r="AC27" s="134"/>
      <c r="AD27" s="42">
        <f t="shared" si="0"/>
        <v>0</v>
      </c>
      <c r="AE27" s="135"/>
      <c r="AF27" s="44">
        <f t="shared" si="1"/>
        <v>0</v>
      </c>
      <c r="AG27" s="137"/>
      <c r="AH27" s="46"/>
      <c r="AI27" s="137"/>
      <c r="AJ27" s="46"/>
      <c r="AK27" s="137"/>
      <c r="AL27" s="46"/>
      <c r="AM27" s="137"/>
      <c r="AN27" s="46">
        <f t="shared" si="5"/>
        <v>0</v>
      </c>
      <c r="AO27" s="137">
        <v>99</v>
      </c>
      <c r="AP27" s="46">
        <f t="shared" si="6"/>
        <v>0</v>
      </c>
      <c r="AQ27" s="136"/>
      <c r="AR27" s="46"/>
      <c r="AS27" s="136"/>
      <c r="AT27" s="46"/>
      <c r="AU27" s="136"/>
      <c r="AV27" s="46"/>
      <c r="AW27" s="136"/>
      <c r="AX27" s="46"/>
      <c r="AY27" s="136"/>
      <c r="AZ27" s="46"/>
      <c r="BA27" s="136"/>
      <c r="BB27" s="46"/>
      <c r="BC27" s="136"/>
      <c r="BD27" s="46"/>
      <c r="BE27" s="136"/>
      <c r="BF27" s="46"/>
      <c r="BG27" s="136"/>
      <c r="BH27" s="46"/>
      <c r="BI27" s="136"/>
      <c r="BJ27" s="46"/>
      <c r="BK27" s="136"/>
      <c r="BL27" s="46"/>
      <c r="BM27" s="136"/>
      <c r="BN27" s="136"/>
      <c r="BO27" s="46"/>
      <c r="BP27" s="136"/>
      <c r="BQ27" s="136"/>
      <c r="BR27" s="136"/>
      <c r="BS27" s="137">
        <v>37</v>
      </c>
      <c r="BT27" s="46">
        <f t="shared" si="21"/>
        <v>0</v>
      </c>
      <c r="BU27" s="136"/>
      <c r="BV27" s="46">
        <f t="shared" si="22"/>
        <v>0</v>
      </c>
      <c r="BW27" s="136"/>
      <c r="BX27" s="46">
        <f t="shared" si="23"/>
        <v>0</v>
      </c>
      <c r="BY27" s="136">
        <v>0.23</v>
      </c>
      <c r="BZ27" s="46">
        <f t="shared" si="24"/>
        <v>0</v>
      </c>
      <c r="CA27" s="136"/>
      <c r="CB27" s="46">
        <f t="shared" si="25"/>
        <v>0</v>
      </c>
      <c r="CC27" s="137"/>
      <c r="CD27" s="46">
        <f t="shared" si="26"/>
        <v>0</v>
      </c>
      <c r="CE27" s="136"/>
      <c r="CF27" s="46">
        <f t="shared" si="27"/>
        <v>0</v>
      </c>
      <c r="CG27" s="137"/>
      <c r="CH27" s="46">
        <f t="shared" si="28"/>
        <v>0</v>
      </c>
      <c r="CI27" s="137"/>
      <c r="CJ27" s="42">
        <f t="shared" si="30"/>
        <v>0</v>
      </c>
      <c r="CK27" s="136"/>
      <c r="CL27" s="46">
        <f t="shared" si="31"/>
        <v>0</v>
      </c>
      <c r="CM27" s="137"/>
      <c r="CN27" s="46">
        <f t="shared" si="32"/>
        <v>0</v>
      </c>
      <c r="CO27" s="137"/>
      <c r="CP27" s="46">
        <f t="shared" si="33"/>
        <v>0</v>
      </c>
      <c r="CQ27" s="137"/>
      <c r="CR27" s="46">
        <f t="shared" si="34"/>
        <v>0</v>
      </c>
      <c r="CS27" s="137"/>
      <c r="CT27" s="46">
        <f t="shared" si="35"/>
        <v>0</v>
      </c>
      <c r="CU27" s="137"/>
      <c r="CV27" s="46">
        <f t="shared" si="37"/>
        <v>0</v>
      </c>
      <c r="CW27" s="137"/>
      <c r="CX27" s="46"/>
      <c r="CY27" s="126">
        <v>1</v>
      </c>
      <c r="CZ27" s="46">
        <f t="shared" si="38"/>
        <v>0</v>
      </c>
      <c r="DA27" s="126">
        <v>2</v>
      </c>
      <c r="DB27" s="35">
        <f t="shared" si="39"/>
        <v>0</v>
      </c>
      <c r="DC27" s="135">
        <v>98</v>
      </c>
      <c r="DD27" s="46">
        <f t="shared" si="40"/>
        <v>0</v>
      </c>
      <c r="DE27" s="125"/>
      <c r="DF27" s="126"/>
      <c r="DG27" s="126"/>
      <c r="DH27" s="126"/>
      <c r="DI27" s="126"/>
      <c r="DJ27" s="126"/>
      <c r="DK27" s="126"/>
      <c r="DL27" s="127"/>
      <c r="DM27" s="34"/>
      <c r="DN27" s="34"/>
      <c r="DO27" s="34"/>
      <c r="DP27" s="34"/>
      <c r="DQ27" s="34"/>
    </row>
    <row r="28" spans="1:121" s="32" customFormat="1" x14ac:dyDescent="0.35">
      <c r="A28" s="34"/>
      <c r="B28" s="23">
        <v>12000</v>
      </c>
      <c r="C28" s="38">
        <f t="shared" si="69"/>
        <v>0</v>
      </c>
      <c r="D28" s="113" t="s">
        <v>103</v>
      </c>
      <c r="E28" s="161">
        <f t="shared" si="66"/>
        <v>0</v>
      </c>
      <c r="F28" s="120">
        <v>0</v>
      </c>
      <c r="G28" s="36"/>
      <c r="H28" s="213"/>
      <c r="I28" s="87"/>
      <c r="J28" s="163">
        <f t="shared" si="55"/>
        <v>0</v>
      </c>
      <c r="K28" s="164">
        <f t="shared" si="56"/>
        <v>100</v>
      </c>
      <c r="L28" s="34"/>
      <c r="M28" s="88" t="s">
        <v>62</v>
      </c>
      <c r="N28" s="89" t="s">
        <v>56</v>
      </c>
      <c r="O28" s="116"/>
      <c r="P28" s="188"/>
      <c r="Q28" s="118">
        <f t="shared" si="70"/>
        <v>0</v>
      </c>
      <c r="R28" s="163">
        <f t="shared" si="71"/>
        <v>1000</v>
      </c>
      <c r="S28" s="79"/>
      <c r="T28" s="86">
        <f>SUM(CJ5:CJ38)</f>
        <v>168.66167164642673</v>
      </c>
      <c r="U28" s="34"/>
      <c r="V28" s="8"/>
      <c r="W28" s="11"/>
      <c r="X28" s="15"/>
      <c r="Y28" s="11"/>
      <c r="Z28" s="10"/>
      <c r="AA28" s="34"/>
      <c r="AB28" s="177" t="s">
        <v>103</v>
      </c>
      <c r="AC28" s="77"/>
      <c r="AD28" s="72">
        <f t="shared" si="0"/>
        <v>0</v>
      </c>
      <c r="AE28" s="78"/>
      <c r="AF28" s="73">
        <f t="shared" si="1"/>
        <v>0</v>
      </c>
      <c r="AG28" s="75"/>
      <c r="AH28" s="74"/>
      <c r="AI28" s="75"/>
      <c r="AJ28" s="74"/>
      <c r="AK28" s="75"/>
      <c r="AL28" s="74"/>
      <c r="AM28" s="75"/>
      <c r="AN28" s="74">
        <f t="shared" si="5"/>
        <v>0</v>
      </c>
      <c r="AO28" s="75">
        <v>99</v>
      </c>
      <c r="AP28" s="74">
        <f t="shared" si="6"/>
        <v>0</v>
      </c>
      <c r="AQ28" s="75"/>
      <c r="AR28" s="74"/>
      <c r="AS28" s="75"/>
      <c r="AT28" s="74"/>
      <c r="AU28" s="75"/>
      <c r="AV28" s="74"/>
      <c r="AW28" s="75"/>
      <c r="AX28" s="74"/>
      <c r="AY28" s="75"/>
      <c r="AZ28" s="74"/>
      <c r="BA28" s="75"/>
      <c r="BB28" s="74"/>
      <c r="BC28" s="75"/>
      <c r="BD28" s="74"/>
      <c r="BE28" s="75"/>
      <c r="BF28" s="74"/>
      <c r="BG28" s="75"/>
      <c r="BH28" s="74"/>
      <c r="BI28" s="75"/>
      <c r="BJ28" s="74"/>
      <c r="BK28" s="75"/>
      <c r="BL28" s="74"/>
      <c r="BM28" s="75"/>
      <c r="BN28" s="75"/>
      <c r="BO28" s="74"/>
      <c r="BP28" s="75"/>
      <c r="BQ28" s="178"/>
      <c r="BR28" s="178"/>
      <c r="BS28" s="75"/>
      <c r="BT28" s="74">
        <f t="shared" si="21"/>
        <v>0</v>
      </c>
      <c r="BU28" s="75"/>
      <c r="BV28" s="74">
        <f t="shared" si="22"/>
        <v>0</v>
      </c>
      <c r="BW28" s="75"/>
      <c r="BX28" s="74">
        <f t="shared" si="23"/>
        <v>0</v>
      </c>
      <c r="BY28" s="75"/>
      <c r="BZ28" s="74">
        <f t="shared" si="24"/>
        <v>0</v>
      </c>
      <c r="CA28" s="75">
        <v>27</v>
      </c>
      <c r="CB28" s="74">
        <f t="shared" si="25"/>
        <v>0</v>
      </c>
      <c r="CC28" s="75"/>
      <c r="CD28" s="74">
        <f t="shared" si="26"/>
        <v>0</v>
      </c>
      <c r="CE28" s="75"/>
      <c r="CF28" s="74">
        <f t="shared" si="27"/>
        <v>0</v>
      </c>
      <c r="CG28" s="75"/>
      <c r="CH28" s="74">
        <f t="shared" si="28"/>
        <v>0</v>
      </c>
      <c r="CI28" s="77">
        <f>(CA28*435)+(CC28*256)-(CE28*282)</f>
        <v>11745</v>
      </c>
      <c r="CJ28" s="72">
        <f t="shared" si="30"/>
        <v>0</v>
      </c>
      <c r="CK28" s="75"/>
      <c r="CL28" s="74">
        <f t="shared" si="31"/>
        <v>0</v>
      </c>
      <c r="CM28" s="75"/>
      <c r="CN28" s="74">
        <f t="shared" si="32"/>
        <v>0</v>
      </c>
      <c r="CO28" s="75"/>
      <c r="CP28" s="74">
        <f t="shared" si="33"/>
        <v>0</v>
      </c>
      <c r="CQ28" s="75"/>
      <c r="CR28" s="74">
        <f t="shared" si="34"/>
        <v>0</v>
      </c>
      <c r="CS28" s="75"/>
      <c r="CT28" s="74">
        <f t="shared" si="35"/>
        <v>0</v>
      </c>
      <c r="CU28" s="75"/>
      <c r="CV28" s="74">
        <f t="shared" si="37"/>
        <v>0</v>
      </c>
      <c r="CW28" s="75"/>
      <c r="CX28" s="74"/>
      <c r="CY28" s="54">
        <v>1</v>
      </c>
      <c r="CZ28" s="74">
        <f t="shared" si="38"/>
        <v>0</v>
      </c>
      <c r="DA28" s="54">
        <v>2</v>
      </c>
      <c r="DB28" s="79">
        <f t="shared" si="39"/>
        <v>0</v>
      </c>
      <c r="DC28" s="78">
        <v>98</v>
      </c>
      <c r="DD28" s="74">
        <f t="shared" si="40"/>
        <v>0</v>
      </c>
      <c r="DE28" s="179"/>
      <c r="DF28" s="54"/>
      <c r="DG28" s="54"/>
      <c r="DH28" s="54"/>
      <c r="DI28" s="54"/>
      <c r="DJ28" s="54"/>
      <c r="DK28" s="54"/>
      <c r="DL28" s="162"/>
      <c r="DM28" s="34"/>
      <c r="DN28" s="34"/>
      <c r="DO28" s="34"/>
      <c r="DP28" s="34"/>
      <c r="DQ28" s="34"/>
    </row>
    <row r="29" spans="1:121" s="32" customFormat="1" x14ac:dyDescent="0.35">
      <c r="A29" s="34"/>
      <c r="B29" s="59">
        <v>40000</v>
      </c>
      <c r="C29" s="58">
        <f t="shared" si="69"/>
        <v>125.12287666269688</v>
      </c>
      <c r="D29" s="114" t="s">
        <v>134</v>
      </c>
      <c r="E29" s="119">
        <f t="shared" si="66"/>
        <v>3.1280719165673911</v>
      </c>
      <c r="F29" s="119">
        <v>0.3128071916567422</v>
      </c>
      <c r="G29" s="35"/>
      <c r="H29" s="212"/>
      <c r="I29" s="39"/>
      <c r="J29" s="97">
        <f t="shared" si="55"/>
        <v>0</v>
      </c>
      <c r="K29" s="98">
        <f t="shared" si="56"/>
        <v>100</v>
      </c>
      <c r="L29" s="34"/>
      <c r="M29" s="60" t="s">
        <v>81</v>
      </c>
      <c r="N29" s="61" t="s">
        <v>61</v>
      </c>
      <c r="O29" s="71"/>
      <c r="P29" s="109"/>
      <c r="Q29" s="106">
        <f t="shared" si="70"/>
        <v>0</v>
      </c>
      <c r="R29" s="97">
        <f t="shared" si="71"/>
        <v>1000</v>
      </c>
      <c r="S29" s="35"/>
      <c r="T29" s="63">
        <f>SUM(CL5:CL38)</f>
        <v>2.3414347426028255</v>
      </c>
      <c r="U29" s="34"/>
      <c r="V29" s="8"/>
      <c r="W29" s="71"/>
      <c r="X29" s="15"/>
      <c r="Y29" s="71"/>
      <c r="Z29" s="10"/>
      <c r="AA29" s="34"/>
      <c r="AB29" s="143" t="s">
        <v>134</v>
      </c>
      <c r="AC29" s="43"/>
      <c r="AD29" s="42">
        <f t="shared" si="0"/>
        <v>0</v>
      </c>
      <c r="AE29" s="45"/>
      <c r="AF29" s="44">
        <f t="shared" si="1"/>
        <v>0</v>
      </c>
      <c r="AG29" s="47"/>
      <c r="AH29" s="46"/>
      <c r="AI29" s="47"/>
      <c r="AJ29" s="46"/>
      <c r="AK29" s="47"/>
      <c r="AL29" s="46"/>
      <c r="AM29" s="47"/>
      <c r="AN29" s="46">
        <f t="shared" si="5"/>
        <v>0</v>
      </c>
      <c r="AO29" s="47">
        <v>99</v>
      </c>
      <c r="AP29" s="46">
        <f t="shared" si="6"/>
        <v>0.30967911974017476</v>
      </c>
      <c r="AQ29" s="47"/>
      <c r="AR29" s="46"/>
      <c r="AS29" s="47"/>
      <c r="AT29" s="46"/>
      <c r="AU29" s="47"/>
      <c r="AV29" s="46"/>
      <c r="AW29" s="47"/>
      <c r="AX29" s="46"/>
      <c r="AY29" s="47"/>
      <c r="AZ29" s="46"/>
      <c r="BA29" s="47"/>
      <c r="BB29" s="46"/>
      <c r="BC29" s="47"/>
      <c r="BD29" s="46"/>
      <c r="BE29" s="47"/>
      <c r="BF29" s="46"/>
      <c r="BG29" s="47"/>
      <c r="BH29" s="46"/>
      <c r="BI29" s="47"/>
      <c r="BJ29" s="46"/>
      <c r="BK29" s="47"/>
      <c r="BL29" s="46"/>
      <c r="BM29" s="47"/>
      <c r="BN29" s="47"/>
      <c r="BO29" s="46"/>
      <c r="BP29" s="47"/>
      <c r="BQ29" s="48"/>
      <c r="BR29" s="48"/>
      <c r="BS29" s="47"/>
      <c r="BT29" s="46">
        <f t="shared" si="21"/>
        <v>0</v>
      </c>
      <c r="BU29" s="47"/>
      <c r="BV29" s="46">
        <f t="shared" si="22"/>
        <v>0</v>
      </c>
      <c r="BW29" s="47"/>
      <c r="BX29" s="46">
        <f t="shared" si="23"/>
        <v>0</v>
      </c>
      <c r="BY29" s="47"/>
      <c r="BZ29" s="46">
        <f t="shared" si="24"/>
        <v>0</v>
      </c>
      <c r="CA29" s="47"/>
      <c r="CB29" s="46">
        <f t="shared" si="25"/>
        <v>0</v>
      </c>
      <c r="CC29" s="47">
        <v>56.5</v>
      </c>
      <c r="CD29" s="46">
        <f t="shared" si="26"/>
        <v>0.17673606328605931</v>
      </c>
      <c r="CE29" s="47"/>
      <c r="CF29" s="46">
        <f t="shared" si="27"/>
        <v>0</v>
      </c>
      <c r="CG29" s="47"/>
      <c r="CH29" s="46">
        <f t="shared" si="28"/>
        <v>0</v>
      </c>
      <c r="CI29" s="43">
        <f>(CA29*435)+(CC29*256)-(CE29*282)</f>
        <v>14464</v>
      </c>
      <c r="CJ29" s="42">
        <f t="shared" si="30"/>
        <v>45.244432201231184</v>
      </c>
      <c r="CK29" s="47"/>
      <c r="CL29" s="46">
        <f t="shared" si="31"/>
        <v>0</v>
      </c>
      <c r="CM29" s="47"/>
      <c r="CN29" s="46">
        <f t="shared" si="32"/>
        <v>0</v>
      </c>
      <c r="CO29" s="47"/>
      <c r="CP29" s="46">
        <f t="shared" si="33"/>
        <v>0</v>
      </c>
      <c r="CQ29" s="47"/>
      <c r="CR29" s="46">
        <f t="shared" si="34"/>
        <v>0</v>
      </c>
      <c r="CS29" s="47"/>
      <c r="CT29" s="46">
        <f t="shared" si="35"/>
        <v>0</v>
      </c>
      <c r="CU29" s="47"/>
      <c r="CV29" s="46">
        <f t="shared" si="37"/>
        <v>0</v>
      </c>
      <c r="CW29" s="47"/>
      <c r="CX29" s="46"/>
      <c r="CY29" s="28">
        <v>1</v>
      </c>
      <c r="CZ29" s="46">
        <f t="shared" si="38"/>
        <v>3.1280719165674223E-3</v>
      </c>
      <c r="DA29" s="28">
        <v>2</v>
      </c>
      <c r="DB29" s="35">
        <f t="shared" si="39"/>
        <v>6.2561438331348446E-3</v>
      </c>
      <c r="DC29" s="45">
        <v>98</v>
      </c>
      <c r="DD29" s="46">
        <f t="shared" si="40"/>
        <v>0.30655104782360737</v>
      </c>
      <c r="DE29" s="145"/>
      <c r="DF29" s="28"/>
      <c r="DG29" s="28"/>
      <c r="DH29" s="28"/>
      <c r="DI29" s="28"/>
      <c r="DJ29" s="28"/>
      <c r="DK29" s="28"/>
      <c r="DL29" s="39"/>
      <c r="DM29" s="34"/>
      <c r="DN29" s="34"/>
      <c r="DO29" s="34"/>
      <c r="DP29" s="34"/>
      <c r="DQ29" s="34"/>
    </row>
    <row r="30" spans="1:121" s="32" customFormat="1" x14ac:dyDescent="0.35">
      <c r="A30" s="34"/>
      <c r="B30" s="159">
        <v>1000</v>
      </c>
      <c r="C30" s="38">
        <f t="shared" si="69"/>
        <v>0.91693989053463831</v>
      </c>
      <c r="D30" s="160" t="s">
        <v>100</v>
      </c>
      <c r="E30" s="161">
        <f t="shared" si="66"/>
        <v>0.91693989053462943</v>
      </c>
      <c r="F30" s="161">
        <v>9.1693989053463834E-2</v>
      </c>
      <c r="G30" s="79"/>
      <c r="H30" s="214"/>
      <c r="I30" s="162"/>
      <c r="J30" s="163">
        <f t="shared" si="55"/>
        <v>0</v>
      </c>
      <c r="K30" s="164">
        <f t="shared" si="56"/>
        <v>100</v>
      </c>
      <c r="L30" s="34"/>
      <c r="M30" s="88" t="s">
        <v>82</v>
      </c>
      <c r="N30" s="89" t="s">
        <v>55</v>
      </c>
      <c r="O30" s="199"/>
      <c r="P30" s="188"/>
      <c r="Q30" s="117">
        <f t="shared" si="70"/>
        <v>0</v>
      </c>
      <c r="R30" s="99">
        <f t="shared" si="71"/>
        <v>1000</v>
      </c>
      <c r="S30" s="79"/>
      <c r="T30" s="86">
        <f>SUM(CN5:CN38)</f>
        <v>4.0435230646917768</v>
      </c>
      <c r="U30" s="34"/>
      <c r="V30" s="8"/>
      <c r="W30" s="198"/>
      <c r="X30" s="90"/>
      <c r="Y30" s="198"/>
      <c r="Z30" s="10"/>
      <c r="AA30" s="34"/>
      <c r="AB30" s="177" t="s">
        <v>100</v>
      </c>
      <c r="AC30" s="77"/>
      <c r="AD30" s="72">
        <f t="shared" si="0"/>
        <v>0</v>
      </c>
      <c r="AE30" s="78"/>
      <c r="AF30" s="73">
        <f t="shared" si="1"/>
        <v>0</v>
      </c>
      <c r="AG30" s="75"/>
      <c r="AH30" s="74"/>
      <c r="AI30" s="75"/>
      <c r="AJ30" s="74"/>
      <c r="AK30" s="75"/>
      <c r="AL30" s="74"/>
      <c r="AM30" s="75"/>
      <c r="AN30" s="74">
        <f t="shared" si="5"/>
        <v>0</v>
      </c>
      <c r="AO30" s="75">
        <v>99</v>
      </c>
      <c r="AP30" s="74">
        <f t="shared" si="6"/>
        <v>9.0777049162929196E-2</v>
      </c>
      <c r="AQ30" s="75"/>
      <c r="AR30" s="74"/>
      <c r="AS30" s="75"/>
      <c r="AT30" s="74"/>
      <c r="AU30" s="75"/>
      <c r="AV30" s="74"/>
      <c r="AW30" s="75"/>
      <c r="AX30" s="74"/>
      <c r="AY30" s="75"/>
      <c r="AZ30" s="74"/>
      <c r="BA30" s="75"/>
      <c r="BB30" s="74"/>
      <c r="BC30" s="75"/>
      <c r="BD30" s="74"/>
      <c r="BE30" s="75"/>
      <c r="BF30" s="74"/>
      <c r="BG30" s="75"/>
      <c r="BH30" s="74"/>
      <c r="BI30" s="75"/>
      <c r="BJ30" s="74"/>
      <c r="BK30" s="75"/>
      <c r="BL30" s="74"/>
      <c r="BM30" s="75"/>
      <c r="BN30" s="75"/>
      <c r="BO30" s="74"/>
      <c r="BP30" s="75"/>
      <c r="BQ30" s="178"/>
      <c r="BR30" s="178"/>
      <c r="BS30" s="75"/>
      <c r="BT30" s="74">
        <f t="shared" si="21"/>
        <v>0</v>
      </c>
      <c r="BU30" s="75"/>
      <c r="BV30" s="74">
        <f t="shared" si="22"/>
        <v>0</v>
      </c>
      <c r="BW30" s="75"/>
      <c r="BX30" s="74">
        <f t="shared" si="23"/>
        <v>0</v>
      </c>
      <c r="BY30" s="75"/>
      <c r="BZ30" s="74">
        <f t="shared" si="24"/>
        <v>0</v>
      </c>
      <c r="CA30" s="75">
        <v>39</v>
      </c>
      <c r="CB30" s="74">
        <f t="shared" si="25"/>
        <v>3.5760655730850896E-2</v>
      </c>
      <c r="CC30" s="75"/>
      <c r="CD30" s="74">
        <f t="shared" si="26"/>
        <v>0</v>
      </c>
      <c r="CE30" s="75">
        <v>60</v>
      </c>
      <c r="CF30" s="74">
        <f t="shared" si="27"/>
        <v>5.50163934320783E-2</v>
      </c>
      <c r="CG30" s="75"/>
      <c r="CH30" s="74">
        <f t="shared" si="28"/>
        <v>0</v>
      </c>
      <c r="CI30" s="77">
        <f>(CA30*435)+(CC30*256)-(CE30*282)</f>
        <v>45</v>
      </c>
      <c r="CJ30" s="72">
        <f t="shared" si="30"/>
        <v>4.1262295074058729E-2</v>
      </c>
      <c r="CK30" s="75"/>
      <c r="CL30" s="74">
        <f t="shared" si="31"/>
        <v>0</v>
      </c>
      <c r="CM30" s="75"/>
      <c r="CN30" s="74">
        <f t="shared" si="32"/>
        <v>0</v>
      </c>
      <c r="CO30" s="75"/>
      <c r="CP30" s="74">
        <f t="shared" si="33"/>
        <v>0</v>
      </c>
      <c r="CQ30" s="75"/>
      <c r="CR30" s="74">
        <f t="shared" si="34"/>
        <v>0</v>
      </c>
      <c r="CS30" s="75"/>
      <c r="CT30" s="74">
        <f t="shared" si="35"/>
        <v>0</v>
      </c>
      <c r="CU30" s="75"/>
      <c r="CV30" s="74">
        <f t="shared" si="37"/>
        <v>0</v>
      </c>
      <c r="CW30" s="75"/>
      <c r="CX30" s="74"/>
      <c r="CY30" s="54">
        <v>1</v>
      </c>
      <c r="CZ30" s="74">
        <f t="shared" si="38"/>
        <v>9.1693989053463841E-4</v>
      </c>
      <c r="DA30" s="54">
        <v>2</v>
      </c>
      <c r="DB30" s="79">
        <f t="shared" si="39"/>
        <v>1.8338797810692768E-3</v>
      </c>
      <c r="DC30" s="78">
        <v>98</v>
      </c>
      <c r="DD30" s="74">
        <f t="shared" si="40"/>
        <v>8.9860109272394559E-2</v>
      </c>
      <c r="DE30" s="179"/>
      <c r="DF30" s="54"/>
      <c r="DG30" s="54"/>
      <c r="DH30" s="54"/>
      <c r="DI30" s="54"/>
      <c r="DJ30" s="54"/>
      <c r="DK30" s="54"/>
      <c r="DL30" s="162"/>
      <c r="DM30" s="34"/>
      <c r="DN30" s="34"/>
      <c r="DO30" s="34"/>
      <c r="DP30" s="34"/>
      <c r="DQ30" s="34"/>
    </row>
    <row r="31" spans="1:121" s="32" customFormat="1" x14ac:dyDescent="0.35">
      <c r="A31" s="34"/>
      <c r="B31" s="59">
        <v>90000</v>
      </c>
      <c r="C31" s="58">
        <f t="shared" si="69"/>
        <v>900</v>
      </c>
      <c r="D31" s="114" t="s">
        <v>117</v>
      </c>
      <c r="E31" s="119">
        <f t="shared" si="66"/>
        <v>9.9999999999999023</v>
      </c>
      <c r="F31" s="119">
        <v>1</v>
      </c>
      <c r="G31" s="35"/>
      <c r="H31" s="212">
        <v>1</v>
      </c>
      <c r="I31" s="39"/>
      <c r="J31" s="97">
        <f t="shared" si="55"/>
        <v>1</v>
      </c>
      <c r="K31" s="98">
        <f t="shared" si="56"/>
        <v>100</v>
      </c>
      <c r="L31" s="34"/>
      <c r="M31" s="60" t="s">
        <v>84</v>
      </c>
      <c r="N31" s="61" t="s">
        <v>55</v>
      </c>
      <c r="O31" s="71"/>
      <c r="P31" s="109"/>
      <c r="Q31" s="106">
        <f>IF((O31)="",0,(O31))</f>
        <v>0</v>
      </c>
      <c r="R31" s="97">
        <f>IF((P31)="",1000,(P31))</f>
        <v>1000</v>
      </c>
      <c r="S31" s="35"/>
      <c r="T31" s="63">
        <f>SUM(AP5:AP38)</f>
        <v>7.2212325004284885</v>
      </c>
      <c r="U31" s="34"/>
      <c r="V31" s="8"/>
      <c r="W31" s="71"/>
      <c r="X31" s="15"/>
      <c r="Y31" s="71"/>
      <c r="Z31" s="10"/>
      <c r="AA31" s="34"/>
      <c r="AB31" s="143" t="s">
        <v>101</v>
      </c>
      <c r="AC31" s="43"/>
      <c r="AD31" s="42">
        <f t="shared" si="0"/>
        <v>0</v>
      </c>
      <c r="AE31" s="45"/>
      <c r="AF31" s="44">
        <f t="shared" si="1"/>
        <v>0</v>
      </c>
      <c r="AG31" s="47"/>
      <c r="AH31" s="46"/>
      <c r="AI31" s="47"/>
      <c r="AJ31" s="46"/>
      <c r="AK31" s="47"/>
      <c r="AL31" s="46"/>
      <c r="AM31" s="47">
        <v>4</v>
      </c>
      <c r="AN31" s="46">
        <f t="shared" si="5"/>
        <v>0.04</v>
      </c>
      <c r="AO31" s="47">
        <v>35</v>
      </c>
      <c r="AP31" s="46">
        <f t="shared" si="6"/>
        <v>0.35</v>
      </c>
      <c r="AQ31" s="47"/>
      <c r="AR31" s="46"/>
      <c r="AS31" s="47"/>
      <c r="AT31" s="46"/>
      <c r="AU31" s="47"/>
      <c r="AV31" s="46"/>
      <c r="AW31" s="47"/>
      <c r="AX31" s="46"/>
      <c r="AY31" s="47"/>
      <c r="AZ31" s="46"/>
      <c r="BA31" s="47"/>
      <c r="BB31" s="46"/>
      <c r="BC31" s="47"/>
      <c r="BD31" s="46"/>
      <c r="BE31" s="47"/>
      <c r="BF31" s="46"/>
      <c r="BG31" s="47"/>
      <c r="BH31" s="46"/>
      <c r="BI31" s="47"/>
      <c r="BJ31" s="46"/>
      <c r="BK31" s="47"/>
      <c r="BL31" s="46"/>
      <c r="BM31" s="47"/>
      <c r="BN31" s="47"/>
      <c r="BO31" s="46"/>
      <c r="BP31" s="47"/>
      <c r="BQ31" s="48"/>
      <c r="BR31" s="48"/>
      <c r="BS31" s="47">
        <v>12.5</v>
      </c>
      <c r="BT31" s="46">
        <f t="shared" si="21"/>
        <v>0.125</v>
      </c>
      <c r="BU31" s="47"/>
      <c r="BV31" s="46">
        <f t="shared" si="22"/>
        <v>0</v>
      </c>
      <c r="BW31" s="47"/>
      <c r="BX31" s="46">
        <f t="shared" si="23"/>
        <v>0</v>
      </c>
      <c r="BY31" s="47"/>
      <c r="BZ31" s="46">
        <f t="shared" si="24"/>
        <v>0</v>
      </c>
      <c r="CA31" s="47"/>
      <c r="CB31" s="46">
        <f t="shared" si="25"/>
        <v>0</v>
      </c>
      <c r="CC31" s="47"/>
      <c r="CD31" s="46">
        <f t="shared" si="26"/>
        <v>0</v>
      </c>
      <c r="CE31" s="47"/>
      <c r="CF31" s="46">
        <f t="shared" si="27"/>
        <v>0</v>
      </c>
      <c r="CG31" s="47">
        <v>2.5</v>
      </c>
      <c r="CH31" s="46">
        <f t="shared" si="28"/>
        <v>2.5000000000000001E-2</v>
      </c>
      <c r="CI31" s="43"/>
      <c r="CJ31" s="42">
        <f t="shared" si="30"/>
        <v>0</v>
      </c>
      <c r="CK31" s="47"/>
      <c r="CL31" s="46">
        <f t="shared" si="31"/>
        <v>0</v>
      </c>
      <c r="CM31" s="47"/>
      <c r="CN31" s="46">
        <f t="shared" si="32"/>
        <v>0</v>
      </c>
      <c r="CO31" s="47"/>
      <c r="CP31" s="46">
        <f t="shared" si="33"/>
        <v>0</v>
      </c>
      <c r="CQ31" s="47"/>
      <c r="CR31" s="46">
        <f t="shared" si="34"/>
        <v>0</v>
      </c>
      <c r="CS31" s="47"/>
      <c r="CT31" s="46">
        <f t="shared" si="35"/>
        <v>0</v>
      </c>
      <c r="CU31" s="47"/>
      <c r="CV31" s="46">
        <f t="shared" si="37"/>
        <v>0</v>
      </c>
      <c r="CW31" s="47"/>
      <c r="CX31" s="46"/>
      <c r="CY31" s="28">
        <v>1</v>
      </c>
      <c r="CZ31" s="46">
        <f t="shared" si="38"/>
        <v>0.01</v>
      </c>
      <c r="DA31" s="28">
        <v>2</v>
      </c>
      <c r="DB31" s="35">
        <f t="shared" si="39"/>
        <v>0.02</v>
      </c>
      <c r="DC31" s="45">
        <v>98</v>
      </c>
      <c r="DD31" s="46">
        <f t="shared" si="40"/>
        <v>0.98</v>
      </c>
      <c r="DE31" s="145"/>
      <c r="DF31" s="28"/>
      <c r="DG31" s="28"/>
      <c r="DH31" s="28"/>
      <c r="DI31" s="28"/>
      <c r="DJ31" s="28"/>
      <c r="DK31" s="28"/>
      <c r="DL31" s="39"/>
      <c r="DM31" s="34"/>
      <c r="DN31" s="34"/>
      <c r="DO31" s="34"/>
      <c r="DP31" s="34"/>
      <c r="DQ31" s="34"/>
    </row>
    <row r="32" spans="1:121" s="32" customFormat="1" x14ac:dyDescent="0.35">
      <c r="A32" s="34"/>
      <c r="B32" s="23">
        <v>300000</v>
      </c>
      <c r="C32" s="38">
        <f t="shared" si="69"/>
        <v>214.38254364457541</v>
      </c>
      <c r="D32" s="113" t="s">
        <v>166</v>
      </c>
      <c r="E32" s="161"/>
      <c r="F32" s="120">
        <v>7.1460847881525139E-2</v>
      </c>
      <c r="G32" s="36"/>
      <c r="H32" s="213"/>
      <c r="I32" s="87"/>
      <c r="J32" s="99">
        <f t="shared" ref="J32" si="72">IF((H32)="",0,(H32))</f>
        <v>0</v>
      </c>
      <c r="K32" s="100">
        <f t="shared" ref="K32" si="73">IF((I32)="",100,(I32))</f>
        <v>100</v>
      </c>
      <c r="L32" s="34"/>
      <c r="M32" s="88" t="s">
        <v>166</v>
      </c>
      <c r="N32" s="89" t="s">
        <v>55</v>
      </c>
      <c r="O32" s="116">
        <v>0.1</v>
      </c>
      <c r="P32" s="12"/>
      <c r="Q32" s="117">
        <f>IF((O32)="",0,(O32))</f>
        <v>0.1</v>
      </c>
      <c r="R32" s="99">
        <f>IF((P32)="",1000,(P32))</f>
        <v>1000</v>
      </c>
      <c r="S32" s="79"/>
      <c r="T32" s="86">
        <f>SUM(CX5:CX38)</f>
        <v>0.10000000000000067</v>
      </c>
      <c r="U32" s="34"/>
      <c r="V32" s="8"/>
      <c r="W32" s="12">
        <v>0.1</v>
      </c>
      <c r="X32" s="15"/>
      <c r="Y32" s="12"/>
      <c r="Z32" s="10"/>
      <c r="AA32" s="34"/>
      <c r="AB32" s="144" t="s">
        <v>166</v>
      </c>
      <c r="AC32" s="49"/>
      <c r="AD32" s="72">
        <f t="shared" si="0"/>
        <v>0</v>
      </c>
      <c r="AE32" s="50"/>
      <c r="AF32" s="73">
        <f t="shared" si="1"/>
        <v>0</v>
      </c>
      <c r="AG32" s="75"/>
      <c r="AH32" s="74"/>
      <c r="AI32" s="75"/>
      <c r="AJ32" s="74"/>
      <c r="AK32" s="75"/>
      <c r="AL32" s="74"/>
      <c r="AM32" s="51"/>
      <c r="AN32" s="74">
        <f t="shared" si="5"/>
        <v>0</v>
      </c>
      <c r="AO32" s="75"/>
      <c r="AP32" s="74">
        <f t="shared" si="6"/>
        <v>0</v>
      </c>
      <c r="AQ32" s="51"/>
      <c r="AR32" s="131"/>
      <c r="AS32" s="51"/>
      <c r="AT32" s="131"/>
      <c r="AU32" s="51"/>
      <c r="AV32" s="131"/>
      <c r="AW32" s="51"/>
      <c r="AX32" s="131"/>
      <c r="AY32" s="51"/>
      <c r="AZ32" s="131"/>
      <c r="BA32" s="51"/>
      <c r="BB32" s="131"/>
      <c r="BC32" s="51"/>
      <c r="BD32" s="131"/>
      <c r="BE32" s="51"/>
      <c r="BF32" s="131"/>
      <c r="BG32" s="51"/>
      <c r="BH32" s="131"/>
      <c r="BI32" s="51"/>
      <c r="BJ32" s="131"/>
      <c r="BK32" s="51"/>
      <c r="BL32" s="131"/>
      <c r="BM32" s="51"/>
      <c r="BN32" s="51"/>
      <c r="BO32" s="131"/>
      <c r="BP32" s="51"/>
      <c r="BQ32" s="52"/>
      <c r="BR32" s="52"/>
      <c r="BS32" s="51"/>
      <c r="BT32" s="74">
        <f t="shared" si="21"/>
        <v>0</v>
      </c>
      <c r="BU32" s="51"/>
      <c r="BV32" s="74">
        <f t="shared" si="22"/>
        <v>0</v>
      </c>
      <c r="BW32" s="51"/>
      <c r="BX32" s="74">
        <f t="shared" si="23"/>
        <v>0</v>
      </c>
      <c r="BY32" s="75"/>
      <c r="BZ32" s="74">
        <f t="shared" si="24"/>
        <v>0</v>
      </c>
      <c r="CA32" s="75"/>
      <c r="CB32" s="74">
        <f t="shared" si="25"/>
        <v>0</v>
      </c>
      <c r="CC32" s="75"/>
      <c r="CD32" s="74">
        <f t="shared" si="26"/>
        <v>0</v>
      </c>
      <c r="CE32" s="75"/>
      <c r="CF32" s="74">
        <f t="shared" si="27"/>
        <v>0</v>
      </c>
      <c r="CG32" s="75"/>
      <c r="CH32" s="74">
        <f t="shared" si="28"/>
        <v>0</v>
      </c>
      <c r="CI32" s="77"/>
      <c r="CJ32" s="72">
        <f t="shared" si="30"/>
        <v>0</v>
      </c>
      <c r="CK32" s="75"/>
      <c r="CL32" s="74">
        <f t="shared" si="31"/>
        <v>0</v>
      </c>
      <c r="CM32" s="75"/>
      <c r="CN32" s="74">
        <f t="shared" si="32"/>
        <v>0</v>
      </c>
      <c r="CO32" s="75"/>
      <c r="CP32" s="74">
        <f t="shared" si="33"/>
        <v>0</v>
      </c>
      <c r="CQ32" s="75"/>
      <c r="CR32" s="74">
        <f t="shared" si="34"/>
        <v>0</v>
      </c>
      <c r="CS32" s="51"/>
      <c r="CT32" s="131">
        <f t="shared" si="35"/>
        <v>0</v>
      </c>
      <c r="CU32" s="51"/>
      <c r="CV32" s="131">
        <f t="shared" si="37"/>
        <v>0</v>
      </c>
      <c r="CW32" s="51">
        <v>99</v>
      </c>
      <c r="CX32" s="131">
        <f>F32*CW32%</f>
        <v>7.0746239402709882E-2</v>
      </c>
      <c r="CY32" s="158"/>
      <c r="CZ32" s="74">
        <f t="shared" si="38"/>
        <v>0</v>
      </c>
      <c r="DA32" s="54"/>
      <c r="DB32" s="79">
        <f t="shared" si="39"/>
        <v>0</v>
      </c>
      <c r="DC32" s="50"/>
      <c r="DD32" s="74">
        <f t="shared" si="40"/>
        <v>0</v>
      </c>
      <c r="DE32" s="146"/>
      <c r="DF32" s="158"/>
      <c r="DG32" s="158"/>
      <c r="DH32" s="158"/>
      <c r="DI32" s="158"/>
      <c r="DJ32" s="158"/>
      <c r="DK32" s="158"/>
      <c r="DL32" s="87"/>
      <c r="DM32" s="34"/>
      <c r="DN32" s="34"/>
      <c r="DO32" s="34"/>
      <c r="DP32" s="34"/>
      <c r="DQ32" s="34"/>
    </row>
    <row r="33" spans="1:121" s="32" customFormat="1" x14ac:dyDescent="0.35">
      <c r="A33" s="34"/>
      <c r="B33" s="59">
        <v>30000</v>
      </c>
      <c r="C33" s="58">
        <f t="shared" si="69"/>
        <v>90</v>
      </c>
      <c r="D33" s="114" t="s">
        <v>135</v>
      </c>
      <c r="E33" s="119">
        <f>F33*$E$4/$F$39</f>
        <v>2.9999999999999707</v>
      </c>
      <c r="F33" s="119">
        <v>0.3</v>
      </c>
      <c r="G33" s="35"/>
      <c r="H33" s="212">
        <v>0.3</v>
      </c>
      <c r="I33" s="39"/>
      <c r="J33" s="97">
        <f t="shared" ref="J33:J34" si="74">IF((H33)="",0,(H33))</f>
        <v>0.3</v>
      </c>
      <c r="K33" s="98">
        <f t="shared" ref="K33:K34" si="75">IF((I33)="",100,(I33))</f>
        <v>100</v>
      </c>
      <c r="L33" s="34"/>
      <c r="M33" s="60"/>
      <c r="N33" s="61"/>
      <c r="O33" s="71"/>
      <c r="P33" s="71"/>
      <c r="Q33" s="106"/>
      <c r="R33" s="97"/>
      <c r="S33" s="35"/>
      <c r="T33" s="63"/>
      <c r="U33" s="34"/>
      <c r="V33" s="8"/>
      <c r="W33" s="71"/>
      <c r="X33" s="15"/>
      <c r="Y33" s="71"/>
      <c r="Z33" s="10"/>
      <c r="AA33" s="34"/>
      <c r="AB33" s="143" t="s">
        <v>135</v>
      </c>
      <c r="AC33" s="43"/>
      <c r="AD33" s="42">
        <f t="shared" si="0"/>
        <v>0</v>
      </c>
      <c r="AE33" s="45"/>
      <c r="AF33" s="44">
        <f t="shared" si="1"/>
        <v>0</v>
      </c>
      <c r="AG33" s="47"/>
      <c r="AH33" s="46"/>
      <c r="AI33" s="47"/>
      <c r="AJ33" s="46"/>
      <c r="AK33" s="47"/>
      <c r="AL33" s="46"/>
      <c r="AM33" s="47"/>
      <c r="AN33" s="46">
        <f t="shared" si="5"/>
        <v>0</v>
      </c>
      <c r="AO33" s="47"/>
      <c r="AP33" s="46">
        <f t="shared" si="6"/>
        <v>0</v>
      </c>
      <c r="AQ33" s="47"/>
      <c r="AR33" s="46"/>
      <c r="AS33" s="47"/>
      <c r="AT33" s="46"/>
      <c r="AU33" s="47"/>
      <c r="AV33" s="46"/>
      <c r="AW33" s="47"/>
      <c r="AX33" s="46"/>
      <c r="AY33" s="47"/>
      <c r="AZ33" s="46"/>
      <c r="BA33" s="47"/>
      <c r="BB33" s="46"/>
      <c r="BC33" s="47"/>
      <c r="BD33" s="46"/>
      <c r="BE33" s="47"/>
      <c r="BF33" s="46"/>
      <c r="BG33" s="47"/>
      <c r="BH33" s="46"/>
      <c r="BI33" s="47"/>
      <c r="BJ33" s="46"/>
      <c r="BK33" s="47"/>
      <c r="BL33" s="46"/>
      <c r="BM33" s="47"/>
      <c r="BN33" s="47"/>
      <c r="BO33" s="46"/>
      <c r="BP33" s="47"/>
      <c r="BQ33" s="48"/>
      <c r="BR33" s="48"/>
      <c r="BS33" s="47"/>
      <c r="BT33" s="46">
        <f t="shared" si="21"/>
        <v>0</v>
      </c>
      <c r="BU33" s="47"/>
      <c r="BV33" s="46">
        <f t="shared" si="22"/>
        <v>0</v>
      </c>
      <c r="BW33" s="47"/>
      <c r="BX33" s="46">
        <f t="shared" si="23"/>
        <v>0</v>
      </c>
      <c r="BY33" s="47"/>
      <c r="BZ33" s="46">
        <f t="shared" si="24"/>
        <v>0</v>
      </c>
      <c r="CA33" s="47"/>
      <c r="CB33" s="46">
        <f t="shared" si="25"/>
        <v>0</v>
      </c>
      <c r="CC33" s="47"/>
      <c r="CD33" s="46">
        <f t="shared" si="26"/>
        <v>0</v>
      </c>
      <c r="CE33" s="47"/>
      <c r="CF33" s="46">
        <f t="shared" si="27"/>
        <v>0</v>
      </c>
      <c r="CG33" s="47"/>
      <c r="CH33" s="46">
        <f t="shared" si="28"/>
        <v>0</v>
      </c>
      <c r="CI33" s="43"/>
      <c r="CJ33" s="42">
        <f t="shared" si="30"/>
        <v>0</v>
      </c>
      <c r="CK33" s="47"/>
      <c r="CL33" s="46">
        <f t="shared" si="31"/>
        <v>0</v>
      </c>
      <c r="CM33" s="47"/>
      <c r="CN33" s="46">
        <f t="shared" si="32"/>
        <v>0</v>
      </c>
      <c r="CO33" s="47"/>
      <c r="CP33" s="46">
        <f t="shared" si="33"/>
        <v>0</v>
      </c>
      <c r="CQ33" s="47"/>
      <c r="CR33" s="46">
        <f t="shared" si="34"/>
        <v>0</v>
      </c>
      <c r="CS33" s="47"/>
      <c r="CT33" s="46">
        <f t="shared" si="35"/>
        <v>0</v>
      </c>
      <c r="CU33" s="47"/>
      <c r="CV33" s="46">
        <f t="shared" si="37"/>
        <v>0</v>
      </c>
      <c r="CW33" s="47"/>
      <c r="CX33" s="46"/>
      <c r="CY33" s="28">
        <v>1</v>
      </c>
      <c r="CZ33" s="46">
        <f t="shared" si="38"/>
        <v>3.0000000000000001E-3</v>
      </c>
      <c r="DA33" s="28">
        <v>2</v>
      </c>
      <c r="DB33" s="35">
        <f t="shared" si="39"/>
        <v>6.0000000000000001E-3</v>
      </c>
      <c r="DC33" s="45">
        <v>98</v>
      </c>
      <c r="DD33" s="46">
        <f t="shared" si="40"/>
        <v>0.29399999999999998</v>
      </c>
      <c r="DE33" s="145"/>
      <c r="DF33" s="28"/>
      <c r="DG33" s="28"/>
      <c r="DH33" s="28"/>
      <c r="DI33" s="28"/>
      <c r="DJ33" s="28"/>
      <c r="DK33" s="28"/>
      <c r="DL33" s="39"/>
      <c r="DM33" s="34"/>
      <c r="DN33" s="34"/>
      <c r="DO33" s="34"/>
      <c r="DP33" s="34"/>
      <c r="DQ33" s="34"/>
    </row>
    <row r="34" spans="1:121" s="32" customFormat="1" x14ac:dyDescent="0.35">
      <c r="A34" s="34"/>
      <c r="B34" s="23">
        <v>300000</v>
      </c>
      <c r="C34" s="38">
        <f t="shared" si="69"/>
        <v>300</v>
      </c>
      <c r="D34" s="113" t="s">
        <v>136</v>
      </c>
      <c r="E34" s="161">
        <f t="shared" ref="E34" si="76">F34*$E$4/$F$39</f>
        <v>0.99999999999999023</v>
      </c>
      <c r="F34" s="120">
        <v>0.1</v>
      </c>
      <c r="G34" s="30"/>
      <c r="H34" s="215">
        <v>0.1</v>
      </c>
      <c r="I34" s="87"/>
      <c r="J34" s="163">
        <f t="shared" si="74"/>
        <v>0.1</v>
      </c>
      <c r="K34" s="164">
        <f t="shared" si="75"/>
        <v>100</v>
      </c>
      <c r="L34" s="34"/>
      <c r="M34" s="1"/>
      <c r="N34" s="27"/>
      <c r="O34" s="12"/>
      <c r="P34" s="116"/>
      <c r="Q34" s="117"/>
      <c r="R34" s="99"/>
      <c r="S34" s="36"/>
      <c r="T34" s="2"/>
      <c r="U34" s="34"/>
      <c r="V34" s="8"/>
      <c r="W34" s="116"/>
      <c r="X34" s="15"/>
      <c r="Y34" s="12"/>
      <c r="Z34" s="10"/>
      <c r="AA34" s="34"/>
      <c r="AB34" s="144" t="s">
        <v>136</v>
      </c>
      <c r="AC34" s="49"/>
      <c r="AD34" s="72">
        <f t="shared" si="0"/>
        <v>0</v>
      </c>
      <c r="AE34" s="50"/>
      <c r="AF34" s="73">
        <f t="shared" si="1"/>
        <v>0</v>
      </c>
      <c r="AG34" s="75"/>
      <c r="AH34" s="74"/>
      <c r="AI34" s="75"/>
      <c r="AJ34" s="74"/>
      <c r="AK34" s="75"/>
      <c r="AL34" s="74"/>
      <c r="AM34" s="51"/>
      <c r="AN34" s="74">
        <f t="shared" si="5"/>
        <v>0</v>
      </c>
      <c r="AO34" s="75"/>
      <c r="AP34" s="74">
        <f t="shared" si="6"/>
        <v>0</v>
      </c>
      <c r="AQ34" s="51"/>
      <c r="AR34" s="131"/>
      <c r="AS34" s="51"/>
      <c r="AT34" s="131"/>
      <c r="AU34" s="51"/>
      <c r="AV34" s="131"/>
      <c r="AW34" s="51"/>
      <c r="AX34" s="131"/>
      <c r="AY34" s="51"/>
      <c r="AZ34" s="131"/>
      <c r="BA34" s="51"/>
      <c r="BB34" s="131"/>
      <c r="BC34" s="51"/>
      <c r="BD34" s="131"/>
      <c r="BE34" s="51"/>
      <c r="BF34" s="131"/>
      <c r="BG34" s="51"/>
      <c r="BH34" s="131"/>
      <c r="BI34" s="51"/>
      <c r="BJ34" s="131"/>
      <c r="BK34" s="51"/>
      <c r="BL34" s="131"/>
      <c r="BM34" s="51"/>
      <c r="BN34" s="51"/>
      <c r="BO34" s="131"/>
      <c r="BP34" s="51"/>
      <c r="BQ34" s="52"/>
      <c r="BR34" s="52"/>
      <c r="BS34" s="51"/>
      <c r="BT34" s="74">
        <f t="shared" si="21"/>
        <v>0</v>
      </c>
      <c r="BU34" s="75"/>
      <c r="BV34" s="74">
        <f t="shared" si="22"/>
        <v>0</v>
      </c>
      <c r="BW34" s="75"/>
      <c r="BX34" s="74">
        <f t="shared" si="23"/>
        <v>0</v>
      </c>
      <c r="BY34" s="75"/>
      <c r="BZ34" s="74">
        <f t="shared" si="24"/>
        <v>0</v>
      </c>
      <c r="CA34" s="75"/>
      <c r="CB34" s="74">
        <f t="shared" si="25"/>
        <v>0</v>
      </c>
      <c r="CC34" s="75"/>
      <c r="CD34" s="74">
        <f t="shared" si="26"/>
        <v>0</v>
      </c>
      <c r="CE34" s="75"/>
      <c r="CF34" s="74">
        <f t="shared" si="27"/>
        <v>0</v>
      </c>
      <c r="CG34" s="75"/>
      <c r="CH34" s="74">
        <f t="shared" si="28"/>
        <v>0</v>
      </c>
      <c r="CI34" s="77"/>
      <c r="CJ34" s="72">
        <f t="shared" si="30"/>
        <v>0</v>
      </c>
      <c r="CK34" s="75"/>
      <c r="CL34" s="74">
        <f t="shared" si="31"/>
        <v>0</v>
      </c>
      <c r="CM34" s="75"/>
      <c r="CN34" s="74">
        <f t="shared" si="32"/>
        <v>0</v>
      </c>
      <c r="CO34" s="75"/>
      <c r="CP34" s="74">
        <f t="shared" si="33"/>
        <v>0</v>
      </c>
      <c r="CQ34" s="75"/>
      <c r="CR34" s="74">
        <f t="shared" si="34"/>
        <v>0</v>
      </c>
      <c r="CS34" s="51"/>
      <c r="CT34" s="131">
        <f t="shared" si="35"/>
        <v>0</v>
      </c>
      <c r="CU34" s="51"/>
      <c r="CV34" s="131">
        <f t="shared" si="37"/>
        <v>0</v>
      </c>
      <c r="CW34" s="51"/>
      <c r="CX34" s="131"/>
      <c r="CY34" s="158">
        <v>1</v>
      </c>
      <c r="CZ34" s="74">
        <f t="shared" si="38"/>
        <v>1E-3</v>
      </c>
      <c r="DA34" s="54">
        <v>2</v>
      </c>
      <c r="DB34" s="79">
        <f t="shared" si="39"/>
        <v>2E-3</v>
      </c>
      <c r="DC34" s="50">
        <v>98</v>
      </c>
      <c r="DD34" s="74">
        <f t="shared" si="40"/>
        <v>9.8000000000000004E-2</v>
      </c>
      <c r="DE34" s="146"/>
      <c r="DF34" s="158"/>
      <c r="DG34" s="158"/>
      <c r="DH34" s="158"/>
      <c r="DI34" s="158"/>
      <c r="DJ34" s="158"/>
      <c r="DK34" s="158"/>
      <c r="DL34" s="87"/>
      <c r="DM34" s="34"/>
      <c r="DN34" s="34"/>
      <c r="DO34" s="34"/>
      <c r="DP34" s="34"/>
      <c r="DQ34" s="34"/>
    </row>
    <row r="35" spans="1:121" s="32" customFormat="1" x14ac:dyDescent="0.35">
      <c r="A35" s="34"/>
      <c r="B35" s="59">
        <v>80000</v>
      </c>
      <c r="C35" s="58">
        <f t="shared" si="69"/>
        <v>0</v>
      </c>
      <c r="D35" s="114" t="s">
        <v>137</v>
      </c>
      <c r="E35" s="119">
        <f>F35*$E$4/$F$39</f>
        <v>0</v>
      </c>
      <c r="F35" s="119">
        <v>0</v>
      </c>
      <c r="G35" s="35"/>
      <c r="H35" s="212"/>
      <c r="I35" s="39"/>
      <c r="J35" s="97">
        <f t="shared" si="55"/>
        <v>0</v>
      </c>
      <c r="K35" s="98">
        <f t="shared" si="56"/>
        <v>100</v>
      </c>
      <c r="L35" s="34"/>
      <c r="M35" s="60"/>
      <c r="N35" s="61"/>
      <c r="O35" s="71"/>
      <c r="P35" s="109"/>
      <c r="Q35" s="106"/>
      <c r="R35" s="97"/>
      <c r="S35" s="35"/>
      <c r="T35" s="63"/>
      <c r="U35" s="34"/>
      <c r="V35" s="8"/>
      <c r="W35" s="71"/>
      <c r="X35" s="15"/>
      <c r="Y35" s="71"/>
      <c r="Z35" s="10"/>
      <c r="AA35" s="34"/>
      <c r="AB35" s="143" t="s">
        <v>137</v>
      </c>
      <c r="AC35" s="43"/>
      <c r="AD35" s="42">
        <f t="shared" si="0"/>
        <v>0</v>
      </c>
      <c r="AE35" s="45"/>
      <c r="AF35" s="44">
        <f t="shared" si="1"/>
        <v>0</v>
      </c>
      <c r="AG35" s="47"/>
      <c r="AH35" s="46"/>
      <c r="AI35" s="47"/>
      <c r="AJ35" s="46"/>
      <c r="AK35" s="47"/>
      <c r="AL35" s="46"/>
      <c r="AM35" s="47"/>
      <c r="AN35" s="46">
        <f t="shared" si="5"/>
        <v>0</v>
      </c>
      <c r="AO35" s="47">
        <v>0.5</v>
      </c>
      <c r="AP35" s="46">
        <f t="shared" si="6"/>
        <v>0</v>
      </c>
      <c r="AQ35" s="47"/>
      <c r="AR35" s="46"/>
      <c r="AS35" s="47"/>
      <c r="AT35" s="46"/>
      <c r="AU35" s="47"/>
      <c r="AV35" s="46"/>
      <c r="AW35" s="47"/>
      <c r="AX35" s="46"/>
      <c r="AY35" s="47"/>
      <c r="AZ35" s="46"/>
      <c r="BA35" s="47"/>
      <c r="BB35" s="46"/>
      <c r="BC35" s="47"/>
      <c r="BD35" s="46"/>
      <c r="BE35" s="47"/>
      <c r="BF35" s="46"/>
      <c r="BG35" s="47"/>
      <c r="BH35" s="46"/>
      <c r="BI35" s="47"/>
      <c r="BJ35" s="46"/>
      <c r="BK35" s="47"/>
      <c r="BL35" s="46"/>
      <c r="BM35" s="47"/>
      <c r="BN35" s="47"/>
      <c r="BO35" s="46"/>
      <c r="BP35" s="47"/>
      <c r="BQ35" s="48"/>
      <c r="BR35" s="48"/>
      <c r="BS35" s="47"/>
      <c r="BT35" s="46">
        <f t="shared" si="21"/>
        <v>0</v>
      </c>
      <c r="BU35" s="47"/>
      <c r="BV35" s="46">
        <f t="shared" si="22"/>
        <v>0</v>
      </c>
      <c r="BW35" s="47"/>
      <c r="BX35" s="46">
        <f t="shared" si="23"/>
        <v>0</v>
      </c>
      <c r="BY35" s="47"/>
      <c r="BZ35" s="46">
        <f t="shared" si="24"/>
        <v>0</v>
      </c>
      <c r="CA35" s="47"/>
      <c r="CB35" s="46">
        <f t="shared" si="25"/>
        <v>0</v>
      </c>
      <c r="CC35" s="47"/>
      <c r="CD35" s="46">
        <f t="shared" si="26"/>
        <v>0</v>
      </c>
      <c r="CE35" s="47"/>
      <c r="CF35" s="46">
        <f t="shared" si="27"/>
        <v>0</v>
      </c>
      <c r="CG35" s="47"/>
      <c r="CH35" s="46">
        <f t="shared" si="28"/>
        <v>0</v>
      </c>
      <c r="CI35" s="43"/>
      <c r="CJ35" s="42">
        <f t="shared" si="30"/>
        <v>0</v>
      </c>
      <c r="CK35" s="47"/>
      <c r="CL35" s="46">
        <f t="shared" si="31"/>
        <v>0</v>
      </c>
      <c r="CM35" s="47"/>
      <c r="CN35" s="46">
        <f t="shared" si="32"/>
        <v>0</v>
      </c>
      <c r="CO35" s="47"/>
      <c r="CP35" s="46">
        <f t="shared" si="33"/>
        <v>0</v>
      </c>
      <c r="CQ35" s="47"/>
      <c r="CR35" s="46">
        <f t="shared" si="34"/>
        <v>0</v>
      </c>
      <c r="CS35" s="47"/>
      <c r="CT35" s="46">
        <f t="shared" si="35"/>
        <v>0</v>
      </c>
      <c r="CU35" s="47"/>
      <c r="CV35" s="46">
        <f t="shared" si="37"/>
        <v>0</v>
      </c>
      <c r="CW35" s="47"/>
      <c r="CX35" s="46"/>
      <c r="CY35" s="28">
        <v>0.8</v>
      </c>
      <c r="CZ35" s="46">
        <f t="shared" si="38"/>
        <v>0</v>
      </c>
      <c r="DA35" s="28">
        <v>2</v>
      </c>
      <c r="DB35" s="35">
        <f t="shared" si="39"/>
        <v>0</v>
      </c>
      <c r="DC35" s="45">
        <v>98</v>
      </c>
      <c r="DD35" s="46">
        <f t="shared" si="40"/>
        <v>0</v>
      </c>
      <c r="DE35" s="145"/>
      <c r="DF35" s="28"/>
      <c r="DG35" s="28"/>
      <c r="DH35" s="28"/>
      <c r="DI35" s="28"/>
      <c r="DJ35" s="28"/>
      <c r="DK35" s="28"/>
      <c r="DL35" s="39"/>
      <c r="DM35" s="34"/>
      <c r="DN35" s="34"/>
      <c r="DO35" s="34"/>
      <c r="DP35" s="34"/>
      <c r="DQ35" s="34"/>
    </row>
    <row r="36" spans="1:121" s="32" customFormat="1" x14ac:dyDescent="0.35">
      <c r="A36" s="34"/>
      <c r="B36" s="23">
        <v>70000</v>
      </c>
      <c r="C36" s="38">
        <f t="shared" si="69"/>
        <v>0</v>
      </c>
      <c r="D36" s="113" t="s">
        <v>138</v>
      </c>
      <c r="E36" s="161">
        <f>F36*$E$4/$F$39</f>
        <v>0</v>
      </c>
      <c r="F36" s="120">
        <v>0</v>
      </c>
      <c r="G36" s="36"/>
      <c r="H36" s="213"/>
      <c r="I36" s="87"/>
      <c r="J36" s="163">
        <f t="shared" si="55"/>
        <v>0</v>
      </c>
      <c r="K36" s="164">
        <f t="shared" si="56"/>
        <v>100</v>
      </c>
      <c r="L36" s="34"/>
      <c r="M36" s="88"/>
      <c r="N36" s="89"/>
      <c r="O36" s="12"/>
      <c r="P36" s="188"/>
      <c r="Q36" s="118"/>
      <c r="R36" s="163"/>
      <c r="S36" s="79"/>
      <c r="T36" s="86"/>
      <c r="U36" s="34"/>
      <c r="V36" s="8"/>
      <c r="W36" s="12"/>
      <c r="X36" s="15"/>
      <c r="Y36" s="12"/>
      <c r="Z36" s="10"/>
      <c r="AA36" s="34"/>
      <c r="AB36" s="177" t="s">
        <v>138</v>
      </c>
      <c r="AC36" s="77"/>
      <c r="AD36" s="72">
        <f t="shared" si="0"/>
        <v>0</v>
      </c>
      <c r="AE36" s="78"/>
      <c r="AF36" s="73">
        <f t="shared" si="1"/>
        <v>0</v>
      </c>
      <c r="AG36" s="75"/>
      <c r="AH36" s="74"/>
      <c r="AI36" s="75"/>
      <c r="AJ36" s="74"/>
      <c r="AK36" s="75"/>
      <c r="AL36" s="74"/>
      <c r="AM36" s="75"/>
      <c r="AN36" s="74">
        <f t="shared" si="5"/>
        <v>0</v>
      </c>
      <c r="AO36" s="75">
        <v>0.5</v>
      </c>
      <c r="AP36" s="74">
        <f t="shared" si="6"/>
        <v>0</v>
      </c>
      <c r="AQ36" s="75"/>
      <c r="AR36" s="74"/>
      <c r="AS36" s="75"/>
      <c r="AT36" s="74"/>
      <c r="AU36" s="75"/>
      <c r="AV36" s="74"/>
      <c r="AW36" s="75"/>
      <c r="AX36" s="74"/>
      <c r="AY36" s="75"/>
      <c r="AZ36" s="74"/>
      <c r="BA36" s="75"/>
      <c r="BB36" s="74"/>
      <c r="BC36" s="75"/>
      <c r="BD36" s="74"/>
      <c r="BE36" s="75"/>
      <c r="BF36" s="74"/>
      <c r="BG36" s="75"/>
      <c r="BH36" s="74"/>
      <c r="BI36" s="75"/>
      <c r="BJ36" s="74"/>
      <c r="BK36" s="75"/>
      <c r="BL36" s="74"/>
      <c r="BM36" s="75"/>
      <c r="BN36" s="75"/>
      <c r="BO36" s="74"/>
      <c r="BP36" s="75"/>
      <c r="BQ36" s="178"/>
      <c r="BR36" s="178"/>
      <c r="BS36" s="75"/>
      <c r="BT36" s="74">
        <f t="shared" si="21"/>
        <v>0</v>
      </c>
      <c r="BU36" s="75"/>
      <c r="BV36" s="74">
        <f t="shared" si="22"/>
        <v>0</v>
      </c>
      <c r="BW36" s="75"/>
      <c r="BX36" s="74">
        <f t="shared" si="23"/>
        <v>0</v>
      </c>
      <c r="BY36" s="75"/>
      <c r="BZ36" s="74">
        <f t="shared" si="24"/>
        <v>0</v>
      </c>
      <c r="CA36" s="75"/>
      <c r="CB36" s="74">
        <f t="shared" si="25"/>
        <v>0</v>
      </c>
      <c r="CC36" s="75"/>
      <c r="CD36" s="74">
        <f t="shared" si="26"/>
        <v>0</v>
      </c>
      <c r="CE36" s="75"/>
      <c r="CF36" s="74">
        <f t="shared" si="27"/>
        <v>0</v>
      </c>
      <c r="CG36" s="75"/>
      <c r="CH36" s="74">
        <f t="shared" si="28"/>
        <v>0</v>
      </c>
      <c r="CI36" s="77"/>
      <c r="CJ36" s="72">
        <f t="shared" si="30"/>
        <v>0</v>
      </c>
      <c r="CK36" s="75"/>
      <c r="CL36" s="74">
        <f t="shared" si="31"/>
        <v>0</v>
      </c>
      <c r="CM36" s="75"/>
      <c r="CN36" s="74">
        <f t="shared" si="32"/>
        <v>0</v>
      </c>
      <c r="CO36" s="75"/>
      <c r="CP36" s="74">
        <f t="shared" si="33"/>
        <v>0</v>
      </c>
      <c r="CQ36" s="75"/>
      <c r="CR36" s="74">
        <f t="shared" si="34"/>
        <v>0</v>
      </c>
      <c r="CS36" s="75"/>
      <c r="CT36" s="74">
        <f t="shared" si="35"/>
        <v>0</v>
      </c>
      <c r="CU36" s="75"/>
      <c r="CV36" s="74">
        <f t="shared" si="37"/>
        <v>0</v>
      </c>
      <c r="CW36" s="75"/>
      <c r="CX36" s="74"/>
      <c r="CY36" s="54">
        <v>0.8</v>
      </c>
      <c r="CZ36" s="74">
        <f t="shared" si="38"/>
        <v>0</v>
      </c>
      <c r="DA36" s="54">
        <v>2</v>
      </c>
      <c r="DB36" s="79">
        <f t="shared" si="39"/>
        <v>0</v>
      </c>
      <c r="DC36" s="78">
        <v>98</v>
      </c>
      <c r="DD36" s="74">
        <f t="shared" si="40"/>
        <v>0</v>
      </c>
      <c r="DE36" s="179"/>
      <c r="DF36" s="54"/>
      <c r="DG36" s="54"/>
      <c r="DH36" s="54"/>
      <c r="DI36" s="54"/>
      <c r="DJ36" s="54"/>
      <c r="DK36" s="54"/>
      <c r="DL36" s="162"/>
      <c r="DM36" s="34"/>
      <c r="DN36" s="34"/>
      <c r="DO36" s="34"/>
      <c r="DP36" s="34"/>
      <c r="DQ36" s="34"/>
    </row>
    <row r="37" spans="1:121" s="32" customFormat="1" x14ac:dyDescent="0.3">
      <c r="A37" s="34"/>
      <c r="B37" s="59">
        <v>1000</v>
      </c>
      <c r="C37" s="58">
        <f t="shared" si="69"/>
        <v>30</v>
      </c>
      <c r="D37" s="114" t="s">
        <v>102</v>
      </c>
      <c r="E37" s="119">
        <f>F37*$E$4/$F$39</f>
        <v>29.999999999999705</v>
      </c>
      <c r="F37" s="119">
        <v>3</v>
      </c>
      <c r="G37" s="35"/>
      <c r="H37" s="212">
        <v>3</v>
      </c>
      <c r="I37" s="39"/>
      <c r="J37" s="97">
        <f t="shared" si="55"/>
        <v>3</v>
      </c>
      <c r="K37" s="98">
        <f t="shared" si="56"/>
        <v>100</v>
      </c>
      <c r="L37" s="34"/>
      <c r="M37" s="60"/>
      <c r="N37" s="61"/>
      <c r="O37" s="218"/>
      <c r="P37" s="109"/>
      <c r="Q37" s="106"/>
      <c r="R37" s="97"/>
      <c r="S37" s="35"/>
      <c r="T37" s="63"/>
      <c r="U37" s="34"/>
      <c r="V37" s="8"/>
      <c r="W37" s="218"/>
      <c r="X37" s="90"/>
      <c r="Y37" s="218"/>
      <c r="Z37" s="10"/>
      <c r="AA37" s="34"/>
      <c r="AB37" s="143" t="s">
        <v>102</v>
      </c>
      <c r="AC37" s="134"/>
      <c r="AD37" s="42">
        <f t="shared" si="0"/>
        <v>0</v>
      </c>
      <c r="AE37" s="135"/>
      <c r="AF37" s="44">
        <f t="shared" si="1"/>
        <v>0</v>
      </c>
      <c r="AG37" s="137"/>
      <c r="AH37" s="46"/>
      <c r="AI37" s="137"/>
      <c r="AJ37" s="46"/>
      <c r="AK37" s="137"/>
      <c r="AL37" s="46"/>
      <c r="AM37" s="137"/>
      <c r="AN37" s="46">
        <f t="shared" si="5"/>
        <v>0</v>
      </c>
      <c r="AO37" s="137">
        <v>99</v>
      </c>
      <c r="AP37" s="46">
        <f t="shared" si="6"/>
        <v>2.9699999999999998</v>
      </c>
      <c r="AQ37" s="136"/>
      <c r="AR37" s="46"/>
      <c r="AS37" s="136"/>
      <c r="AT37" s="46"/>
      <c r="AU37" s="136"/>
      <c r="AV37" s="46"/>
      <c r="AW37" s="136"/>
      <c r="AX37" s="46"/>
      <c r="AY37" s="136"/>
      <c r="AZ37" s="46"/>
      <c r="BA37" s="136"/>
      <c r="BB37" s="46"/>
      <c r="BC37" s="136"/>
      <c r="BD37" s="46"/>
      <c r="BE37" s="136"/>
      <c r="BF37" s="46"/>
      <c r="BG37" s="136"/>
      <c r="BH37" s="46"/>
      <c r="BI37" s="136"/>
      <c r="BJ37" s="46"/>
      <c r="BK37" s="136"/>
      <c r="BL37" s="46"/>
      <c r="BM37" s="136"/>
      <c r="BN37" s="136"/>
      <c r="BO37" s="46"/>
      <c r="BP37" s="136"/>
      <c r="BQ37" s="136"/>
      <c r="BR37" s="136"/>
      <c r="BS37" s="137">
        <v>1</v>
      </c>
      <c r="BT37" s="46">
        <f t="shared" si="21"/>
        <v>0.03</v>
      </c>
      <c r="BU37" s="136"/>
      <c r="BV37" s="46">
        <f t="shared" si="22"/>
        <v>0</v>
      </c>
      <c r="BW37" s="136"/>
      <c r="BX37" s="46">
        <f t="shared" si="23"/>
        <v>0</v>
      </c>
      <c r="BY37" s="136">
        <v>0.7</v>
      </c>
      <c r="BZ37" s="46">
        <f t="shared" si="24"/>
        <v>2.0999999999999998E-2</v>
      </c>
      <c r="CA37" s="136">
        <v>0.5</v>
      </c>
      <c r="CB37" s="46">
        <f t="shared" si="25"/>
        <v>1.4999999999999999E-2</v>
      </c>
      <c r="CC37" s="137"/>
      <c r="CD37" s="46">
        <f t="shared" si="26"/>
        <v>0</v>
      </c>
      <c r="CE37" s="136"/>
      <c r="CF37" s="46">
        <f t="shared" si="27"/>
        <v>0</v>
      </c>
      <c r="CG37" s="137"/>
      <c r="CH37" s="46">
        <f t="shared" si="28"/>
        <v>0</v>
      </c>
      <c r="CI37" s="137"/>
      <c r="CJ37" s="42">
        <f t="shared" si="30"/>
        <v>0</v>
      </c>
      <c r="CK37" s="136"/>
      <c r="CL37" s="46">
        <f t="shared" si="31"/>
        <v>0</v>
      </c>
      <c r="CM37" s="137"/>
      <c r="CN37" s="46">
        <f t="shared" si="32"/>
        <v>0</v>
      </c>
      <c r="CO37" s="137"/>
      <c r="CP37" s="46">
        <f t="shared" si="33"/>
        <v>0</v>
      </c>
      <c r="CQ37" s="137"/>
      <c r="CR37" s="46">
        <f t="shared" si="34"/>
        <v>0</v>
      </c>
      <c r="CS37" s="137"/>
      <c r="CT37" s="46">
        <f t="shared" si="35"/>
        <v>0</v>
      </c>
      <c r="CU37" s="137"/>
      <c r="CV37" s="46">
        <f t="shared" si="37"/>
        <v>0</v>
      </c>
      <c r="CW37" s="137"/>
      <c r="CX37" s="46"/>
      <c r="CY37" s="126">
        <v>1</v>
      </c>
      <c r="CZ37" s="46">
        <f t="shared" si="38"/>
        <v>0.03</v>
      </c>
      <c r="DA37" s="126">
        <v>14</v>
      </c>
      <c r="DB37" s="35">
        <f t="shared" si="39"/>
        <v>0.42000000000000004</v>
      </c>
      <c r="DC37" s="135">
        <v>98</v>
      </c>
      <c r="DD37" s="46">
        <f t="shared" si="40"/>
        <v>2.94</v>
      </c>
      <c r="DE37" s="125"/>
      <c r="DF37" s="126"/>
      <c r="DG37" s="126"/>
      <c r="DH37" s="126"/>
      <c r="DI37" s="126"/>
      <c r="DJ37" s="126"/>
      <c r="DK37" s="126"/>
      <c r="DL37" s="127"/>
      <c r="DM37" s="34"/>
      <c r="DN37" s="34"/>
      <c r="DO37" s="34"/>
      <c r="DP37" s="34"/>
      <c r="DQ37" s="34"/>
    </row>
    <row r="38" spans="1:121" s="32" customFormat="1" ht="15.5" thickBot="1" x14ac:dyDescent="0.4">
      <c r="A38" s="34"/>
      <c r="B38" s="203">
        <v>1</v>
      </c>
      <c r="C38" s="204">
        <f>F38*B38%</f>
        <v>2.8802047322248805E-2</v>
      </c>
      <c r="D38" s="205" t="s">
        <v>24</v>
      </c>
      <c r="E38" s="206">
        <f>F38*$E$4/$F$39</f>
        <v>28.802047322248523</v>
      </c>
      <c r="F38" s="206">
        <v>2.8802047322248803</v>
      </c>
      <c r="G38" s="207"/>
      <c r="H38" s="216"/>
      <c r="I38" s="208"/>
      <c r="J38" s="209">
        <f t="shared" si="55"/>
        <v>0</v>
      </c>
      <c r="K38" s="210">
        <f t="shared" si="56"/>
        <v>100</v>
      </c>
      <c r="L38" s="34"/>
      <c r="M38" s="219"/>
      <c r="N38" s="220"/>
      <c r="O38" s="221"/>
      <c r="P38" s="222"/>
      <c r="Q38" s="223"/>
      <c r="R38" s="209"/>
      <c r="S38" s="207"/>
      <c r="T38" s="224"/>
      <c r="U38" s="34"/>
      <c r="V38" s="16"/>
      <c r="W38" s="225"/>
      <c r="X38" s="17"/>
      <c r="Y38" s="225"/>
      <c r="Z38" s="18"/>
      <c r="AA38" s="34"/>
      <c r="AB38" s="226" t="s">
        <v>24</v>
      </c>
      <c r="AC38" s="227"/>
      <c r="AD38" s="228">
        <f t="shared" si="0"/>
        <v>0</v>
      </c>
      <c r="AE38" s="229"/>
      <c r="AF38" s="230">
        <f t="shared" si="1"/>
        <v>0</v>
      </c>
      <c r="AG38" s="231"/>
      <c r="AH38" s="232"/>
      <c r="AI38" s="231"/>
      <c r="AJ38" s="232"/>
      <c r="AK38" s="231"/>
      <c r="AL38" s="232"/>
      <c r="AM38" s="231"/>
      <c r="AN38" s="232">
        <f t="shared" si="5"/>
        <v>0</v>
      </c>
      <c r="AO38" s="231"/>
      <c r="AP38" s="232">
        <f t="shared" si="6"/>
        <v>0</v>
      </c>
      <c r="AQ38" s="231"/>
      <c r="AR38" s="232"/>
      <c r="AS38" s="231"/>
      <c r="AT38" s="232"/>
      <c r="AU38" s="231"/>
      <c r="AV38" s="232"/>
      <c r="AW38" s="231"/>
      <c r="AX38" s="232"/>
      <c r="AY38" s="231"/>
      <c r="AZ38" s="232"/>
      <c r="BA38" s="231"/>
      <c r="BB38" s="232"/>
      <c r="BC38" s="231"/>
      <c r="BD38" s="232"/>
      <c r="BE38" s="231"/>
      <c r="BF38" s="232"/>
      <c r="BG38" s="231"/>
      <c r="BH38" s="232"/>
      <c r="BI38" s="231"/>
      <c r="BJ38" s="232"/>
      <c r="BK38" s="231"/>
      <c r="BL38" s="232"/>
      <c r="BM38" s="231"/>
      <c r="BN38" s="231"/>
      <c r="BO38" s="232"/>
      <c r="BP38" s="231"/>
      <c r="BQ38" s="233"/>
      <c r="BR38" s="233"/>
      <c r="BS38" s="231"/>
      <c r="BT38" s="232">
        <f t="shared" si="21"/>
        <v>0</v>
      </c>
      <c r="BU38" s="231"/>
      <c r="BV38" s="232">
        <f t="shared" si="22"/>
        <v>0</v>
      </c>
      <c r="BW38" s="231"/>
      <c r="BX38" s="232">
        <f t="shared" si="23"/>
        <v>0</v>
      </c>
      <c r="BY38" s="231"/>
      <c r="BZ38" s="232">
        <f t="shared" si="24"/>
        <v>0</v>
      </c>
      <c r="CA38" s="231"/>
      <c r="CB38" s="232">
        <f t="shared" si="25"/>
        <v>0</v>
      </c>
      <c r="CC38" s="231"/>
      <c r="CD38" s="232">
        <f t="shared" si="26"/>
        <v>0</v>
      </c>
      <c r="CE38" s="231"/>
      <c r="CF38" s="232">
        <f t="shared" si="27"/>
        <v>0</v>
      </c>
      <c r="CG38" s="231"/>
      <c r="CH38" s="232">
        <f t="shared" si="28"/>
        <v>0</v>
      </c>
      <c r="CI38" s="227"/>
      <c r="CJ38" s="228">
        <f t="shared" si="30"/>
        <v>0</v>
      </c>
      <c r="CK38" s="231"/>
      <c r="CL38" s="232">
        <f t="shared" si="31"/>
        <v>0</v>
      </c>
      <c r="CM38" s="231"/>
      <c r="CN38" s="232">
        <f t="shared" si="32"/>
        <v>0</v>
      </c>
      <c r="CO38" s="231"/>
      <c r="CP38" s="232">
        <f t="shared" si="33"/>
        <v>0</v>
      </c>
      <c r="CQ38" s="231"/>
      <c r="CR38" s="232">
        <f t="shared" si="34"/>
        <v>0</v>
      </c>
      <c r="CS38" s="231"/>
      <c r="CT38" s="232">
        <f t="shared" si="35"/>
        <v>0</v>
      </c>
      <c r="CU38" s="231"/>
      <c r="CV38" s="232">
        <f t="shared" si="37"/>
        <v>0</v>
      </c>
      <c r="CW38" s="231"/>
      <c r="CX38" s="232"/>
      <c r="CY38" s="197">
        <v>1</v>
      </c>
      <c r="CZ38" s="232">
        <f t="shared" si="38"/>
        <v>2.8802047322248805E-2</v>
      </c>
      <c r="DA38" s="197">
        <v>2</v>
      </c>
      <c r="DB38" s="80">
        <f t="shared" si="39"/>
        <v>5.760409464449761E-2</v>
      </c>
      <c r="DC38" s="229">
        <v>98</v>
      </c>
      <c r="DD38" s="232">
        <f t="shared" si="40"/>
        <v>2.8226006375803827</v>
      </c>
      <c r="DE38" s="234"/>
      <c r="DF38" s="197"/>
      <c r="DG38" s="197"/>
      <c r="DH38" s="197"/>
      <c r="DI38" s="197"/>
      <c r="DJ38" s="197"/>
      <c r="DK38" s="197"/>
      <c r="DL38" s="235"/>
      <c r="DM38" s="34"/>
      <c r="DN38" s="34"/>
      <c r="DO38" s="34"/>
      <c r="DP38" s="34"/>
      <c r="DQ38" s="34"/>
    </row>
    <row r="39" spans="1:121" s="32" customFormat="1" ht="15.5" thickBot="1" x14ac:dyDescent="0.4">
      <c r="A39" s="34"/>
      <c r="B39" s="174"/>
      <c r="C39" s="58"/>
      <c r="D39" s="175"/>
      <c r="E39" s="122"/>
      <c r="F39" s="202">
        <f>SUM(F5:F38)</f>
        <v>100.00000000000098</v>
      </c>
      <c r="G39" s="35"/>
      <c r="H39" s="212"/>
      <c r="I39" s="28"/>
      <c r="J39" s="97"/>
      <c r="K39" s="97"/>
      <c r="L39" s="34"/>
      <c r="M39" s="34"/>
      <c r="N39" s="34"/>
      <c r="O39" s="111"/>
      <c r="P39" s="111"/>
      <c r="Q39" s="101"/>
      <c r="R39" s="101"/>
      <c r="S39" s="34"/>
      <c r="T39" s="34"/>
      <c r="U39" s="34"/>
      <c r="V39" s="34"/>
      <c r="W39" s="34"/>
      <c r="X39" s="34"/>
      <c r="Y39" s="34"/>
      <c r="Z39" s="34"/>
      <c r="AA39" s="34"/>
      <c r="AB39" s="69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5"/>
      <c r="DB39" s="34"/>
      <c r="DC39" s="33"/>
      <c r="DD39" s="33"/>
      <c r="DE39" s="35"/>
      <c r="DF39" s="35"/>
      <c r="DG39" s="35"/>
      <c r="DH39" s="35"/>
      <c r="DI39" s="35"/>
      <c r="DJ39" s="35"/>
      <c r="DK39" s="35"/>
      <c r="DL39" s="35"/>
      <c r="DM39" s="34"/>
      <c r="DN39" s="34"/>
      <c r="DO39" s="34"/>
      <c r="DP39" s="34"/>
      <c r="DQ39" s="34"/>
    </row>
    <row r="40" spans="1:121" x14ac:dyDescent="0.35">
      <c r="A40" s="53"/>
      <c r="B40" s="53"/>
      <c r="C40" s="53"/>
      <c r="D40" s="64"/>
      <c r="E40" s="64"/>
      <c r="F40" s="53"/>
      <c r="G40" s="53"/>
      <c r="H40" s="211"/>
      <c r="I40" s="65"/>
      <c r="J40" s="91"/>
      <c r="K40" s="91"/>
      <c r="L40" s="53"/>
      <c r="M40" s="53"/>
      <c r="N40" s="53"/>
      <c r="O40" s="108"/>
      <c r="P40" s="108"/>
      <c r="Q40" s="91"/>
      <c r="R40" s="91"/>
      <c r="S40" s="53"/>
      <c r="T40" s="53"/>
      <c r="U40" s="53"/>
      <c r="V40" s="53"/>
      <c r="W40" s="53"/>
      <c r="X40" s="53"/>
      <c r="Y40" s="53"/>
      <c r="Z40" s="53"/>
      <c r="AA40" s="53"/>
      <c r="AB40" s="64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67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</row>
    <row r="41" spans="1:121" x14ac:dyDescent="0.35">
      <c r="A41" s="53"/>
      <c r="B41" s="53"/>
      <c r="C41" s="53"/>
      <c r="D41" s="64"/>
      <c r="E41" s="64"/>
      <c r="F41" s="53"/>
      <c r="G41" s="53"/>
      <c r="H41" s="211"/>
      <c r="I41" s="65"/>
      <c r="J41" s="91"/>
      <c r="K41" s="91"/>
      <c r="L41" s="53"/>
      <c r="M41" s="53"/>
      <c r="N41" s="53"/>
      <c r="O41" s="108"/>
      <c r="P41" s="108"/>
      <c r="Q41" s="91"/>
      <c r="R41" s="91"/>
      <c r="S41" s="53"/>
      <c r="T41" s="53"/>
      <c r="U41" s="53"/>
      <c r="V41" s="53"/>
      <c r="W41" s="53"/>
      <c r="X41" s="53"/>
      <c r="Y41" s="53"/>
      <c r="Z41" s="53"/>
      <c r="AA41" s="53"/>
      <c r="AB41" s="64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67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</row>
    <row r="42" spans="1:121" x14ac:dyDescent="0.35">
      <c r="A42" s="53"/>
      <c r="B42" s="53"/>
      <c r="C42" s="53"/>
      <c r="D42" s="64"/>
      <c r="E42" s="64"/>
      <c r="F42" s="53"/>
      <c r="G42" s="53"/>
      <c r="H42" s="211"/>
      <c r="I42" s="65"/>
      <c r="J42" s="91"/>
      <c r="K42" s="91"/>
      <c r="L42" s="53"/>
      <c r="M42" s="53"/>
      <c r="N42" s="53"/>
      <c r="O42" s="108"/>
      <c r="P42" s="108"/>
      <c r="Q42" s="91"/>
      <c r="R42" s="91"/>
      <c r="S42" s="53"/>
      <c r="T42" s="53"/>
      <c r="U42" s="53"/>
      <c r="V42" s="53"/>
      <c r="W42" s="53"/>
      <c r="X42" s="53"/>
      <c r="Y42" s="53"/>
      <c r="Z42" s="53"/>
      <c r="AA42" s="53"/>
      <c r="AB42" s="64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67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</row>
    <row r="43" spans="1:121" x14ac:dyDescent="0.35">
      <c r="A43" s="53"/>
      <c r="B43" s="53"/>
      <c r="C43" s="53"/>
      <c r="D43" s="64"/>
      <c r="E43" s="64"/>
      <c r="F43" s="53"/>
      <c r="G43" s="53"/>
      <c r="H43" s="211"/>
      <c r="I43" s="65"/>
      <c r="J43" s="91"/>
      <c r="K43" s="91"/>
      <c r="L43" s="53"/>
      <c r="M43" s="53"/>
      <c r="N43" s="53"/>
      <c r="O43" s="108"/>
      <c r="P43" s="108"/>
      <c r="Q43" s="91"/>
      <c r="R43" s="91"/>
      <c r="S43" s="53"/>
      <c r="T43" s="53"/>
      <c r="U43" s="53"/>
      <c r="V43" s="53"/>
      <c r="W43" s="53"/>
      <c r="X43" s="53"/>
      <c r="Y43" s="53"/>
      <c r="Z43" s="53"/>
      <c r="AA43" s="53"/>
      <c r="AB43" s="64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67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</row>
    <row r="44" spans="1:121" x14ac:dyDescent="0.35">
      <c r="A44" s="53"/>
      <c r="B44" s="53"/>
      <c r="C44" s="53"/>
      <c r="D44" s="64"/>
      <c r="E44" s="64"/>
      <c r="F44" s="53"/>
      <c r="G44" s="53"/>
      <c r="H44" s="211"/>
      <c r="I44" s="65"/>
      <c r="J44" s="91"/>
      <c r="K44" s="91"/>
      <c r="L44" s="53"/>
      <c r="M44" s="53"/>
      <c r="N44" s="53"/>
      <c r="O44" s="108"/>
      <c r="P44" s="108"/>
      <c r="Q44" s="91"/>
      <c r="R44" s="91"/>
      <c r="S44" s="53"/>
      <c r="T44" s="53"/>
      <c r="U44" s="53"/>
      <c r="V44" s="53"/>
      <c r="W44" s="53"/>
      <c r="X44" s="53"/>
      <c r="Y44" s="53"/>
      <c r="Z44" s="53"/>
      <c r="AA44" s="53"/>
      <c r="AB44" s="64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67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</row>
    <row r="45" spans="1:121" x14ac:dyDescent="0.35">
      <c r="A45" s="53"/>
      <c r="B45" s="53"/>
      <c r="C45" s="53"/>
      <c r="D45" s="64"/>
      <c r="E45" s="64"/>
      <c r="F45" s="53"/>
      <c r="G45" s="53"/>
      <c r="H45" s="211"/>
      <c r="I45" s="65"/>
      <c r="J45" s="91"/>
      <c r="K45" s="91"/>
      <c r="L45" s="53"/>
      <c r="M45" s="53"/>
      <c r="N45" s="53"/>
      <c r="O45" s="108"/>
      <c r="P45" s="108"/>
      <c r="Q45" s="91"/>
      <c r="R45" s="91"/>
      <c r="S45" s="53"/>
      <c r="T45" s="53"/>
      <c r="U45" s="53"/>
      <c r="V45" s="53"/>
      <c r="W45" s="53"/>
      <c r="X45" s="53"/>
      <c r="Y45" s="53"/>
      <c r="Z45" s="53"/>
      <c r="AA45" s="53"/>
      <c r="AB45" s="64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67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</row>
    <row r="46" spans="1:121" x14ac:dyDescent="0.35">
      <c r="A46" s="53"/>
      <c r="B46" s="53"/>
      <c r="C46" s="53"/>
      <c r="D46" s="64"/>
      <c r="E46" s="64"/>
      <c r="F46" s="53"/>
      <c r="G46" s="53"/>
      <c r="H46" s="211"/>
      <c r="I46" s="65"/>
      <c r="J46" s="91"/>
      <c r="K46" s="91"/>
      <c r="L46" s="53"/>
      <c r="M46" s="53"/>
      <c r="N46" s="53"/>
      <c r="O46" s="108"/>
      <c r="P46" s="108"/>
      <c r="Q46" s="91"/>
      <c r="R46" s="91"/>
      <c r="S46" s="53"/>
      <c r="T46" s="53"/>
      <c r="U46" s="53"/>
      <c r="V46" s="53"/>
      <c r="W46" s="53"/>
      <c r="X46" s="53"/>
      <c r="Y46" s="53"/>
      <c r="Z46" s="53"/>
      <c r="AA46" s="53"/>
      <c r="AB46" s="64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67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</row>
    <row r="47" spans="1:121" x14ac:dyDescent="0.35">
      <c r="A47" s="53"/>
      <c r="B47" s="53"/>
      <c r="C47" s="53"/>
      <c r="D47" s="64"/>
      <c r="E47" s="64"/>
      <c r="F47" s="53"/>
      <c r="G47" s="53"/>
      <c r="H47" s="211"/>
      <c r="I47" s="65"/>
      <c r="J47" s="91"/>
      <c r="K47" s="91"/>
      <c r="L47" s="53"/>
      <c r="M47" s="53"/>
      <c r="N47" s="53"/>
      <c r="O47" s="108"/>
      <c r="P47" s="108"/>
      <c r="Q47" s="91"/>
      <c r="R47" s="91"/>
      <c r="S47" s="53"/>
      <c r="T47" s="53"/>
      <c r="U47" s="53"/>
      <c r="V47" s="53"/>
      <c r="W47" s="53"/>
      <c r="X47" s="53"/>
      <c r="Y47" s="53"/>
      <c r="Z47" s="53"/>
      <c r="AA47" s="53"/>
      <c r="AB47" s="64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67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</row>
    <row r="48" spans="1:121" x14ac:dyDescent="0.35">
      <c r="A48" s="53"/>
      <c r="B48" s="53"/>
      <c r="C48" s="53"/>
      <c r="D48" s="64"/>
      <c r="E48" s="64"/>
      <c r="F48" s="53"/>
      <c r="G48" s="53"/>
      <c r="H48" s="211"/>
      <c r="I48" s="65"/>
      <c r="J48" s="91"/>
      <c r="K48" s="91"/>
      <c r="L48" s="53"/>
      <c r="M48" s="53"/>
      <c r="N48" s="53"/>
      <c r="O48" s="108"/>
      <c r="P48" s="108"/>
      <c r="Q48" s="91"/>
      <c r="R48" s="91"/>
      <c r="S48" s="53"/>
      <c r="T48" s="53"/>
      <c r="U48" s="53"/>
      <c r="V48" s="53"/>
      <c r="W48" s="53"/>
      <c r="X48" s="53"/>
      <c r="Y48" s="53"/>
      <c r="Z48" s="53"/>
      <c r="AA48" s="53"/>
      <c r="AB48" s="64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67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</row>
    <row r="49" spans="4:105" s="55" customFormat="1" x14ac:dyDescent="0.35">
      <c r="D49" s="56"/>
      <c r="E49" s="56"/>
      <c r="H49" s="217"/>
      <c r="I49" s="57"/>
      <c r="J49" s="102"/>
      <c r="K49" s="102"/>
      <c r="AB49" s="56"/>
      <c r="DA49" s="133"/>
    </row>
    <row r="50" spans="4:105" s="55" customFormat="1" x14ac:dyDescent="0.35">
      <c r="D50" s="56"/>
      <c r="E50" s="56"/>
      <c r="H50" s="217"/>
      <c r="I50" s="57"/>
      <c r="J50" s="102"/>
      <c r="K50" s="102"/>
      <c r="AB50" s="56"/>
      <c r="DA50" s="133"/>
    </row>
    <row r="51" spans="4:105" s="55" customFormat="1" x14ac:dyDescent="0.35">
      <c r="D51" s="56"/>
      <c r="E51" s="56"/>
      <c r="H51" s="217"/>
      <c r="I51" s="57"/>
      <c r="J51" s="102"/>
      <c r="K51" s="102"/>
      <c r="AB51" s="56"/>
      <c r="DA51" s="133"/>
    </row>
    <row r="52" spans="4:105" s="55" customFormat="1" x14ac:dyDescent="0.35">
      <c r="D52" s="56"/>
      <c r="E52" s="56"/>
      <c r="H52" s="217"/>
      <c r="I52" s="57"/>
      <c r="J52" s="102"/>
      <c r="K52" s="102"/>
      <c r="AB52" s="56"/>
      <c r="DA52" s="133"/>
    </row>
    <row r="53" spans="4:105" s="55" customFormat="1" x14ac:dyDescent="0.35">
      <c r="D53" s="56"/>
      <c r="E53" s="56"/>
      <c r="H53" s="217"/>
      <c r="I53" s="57"/>
      <c r="J53" s="102"/>
      <c r="K53" s="102"/>
      <c r="AB53" s="56"/>
      <c r="DA53" s="133"/>
    </row>
    <row r="54" spans="4:105" s="55" customFormat="1" x14ac:dyDescent="0.35">
      <c r="D54" s="56"/>
      <c r="E54" s="56"/>
      <c r="H54" s="217"/>
      <c r="I54" s="57"/>
      <c r="J54" s="102"/>
      <c r="K54" s="102"/>
      <c r="AB54" s="56"/>
      <c r="DA54" s="133"/>
    </row>
    <row r="55" spans="4:105" x14ac:dyDescent="0.35">
      <c r="O55" s="30"/>
      <c r="P55" s="30"/>
      <c r="Q55" s="30"/>
      <c r="R55" s="30"/>
    </row>
    <row r="56" spans="4:105" x14ac:dyDescent="0.35">
      <c r="O56" s="30"/>
      <c r="P56" s="30"/>
      <c r="Q56" s="30"/>
      <c r="R56" s="30"/>
    </row>
    <row r="57" spans="4:105" x14ac:dyDescent="0.35">
      <c r="O57" s="30"/>
      <c r="P57" s="30"/>
      <c r="Q57" s="30"/>
      <c r="R57" s="30"/>
    </row>
    <row r="58" spans="4:105" x14ac:dyDescent="0.35">
      <c r="O58" s="30"/>
      <c r="P58" s="30"/>
      <c r="Q58" s="30"/>
      <c r="R58" s="30"/>
    </row>
    <row r="59" spans="4:105" x14ac:dyDescent="0.35">
      <c r="O59" s="30"/>
      <c r="P59" s="30"/>
      <c r="Q59" s="30"/>
      <c r="R59" s="30"/>
    </row>
    <row r="60" spans="4:105" x14ac:dyDescent="0.35">
      <c r="O60" s="30"/>
      <c r="P60" s="30"/>
      <c r="Q60" s="30"/>
      <c r="R60" s="30"/>
    </row>
    <row r="61" spans="4:105" x14ac:dyDescent="0.35">
      <c r="O61" s="30"/>
      <c r="P61" s="30"/>
      <c r="Q61" s="30"/>
      <c r="R61" s="30"/>
    </row>
    <row r="62" spans="4:105" x14ac:dyDescent="0.35">
      <c r="O62" s="30"/>
      <c r="P62" s="30"/>
      <c r="Q62" s="30"/>
      <c r="R62" s="30"/>
    </row>
    <row r="63" spans="4:105" x14ac:dyDescent="0.35">
      <c r="O63" s="30"/>
      <c r="P63" s="30"/>
      <c r="Q63" s="30"/>
      <c r="R63" s="30"/>
    </row>
    <row r="64" spans="4:105" x14ac:dyDescent="0.35">
      <c r="O64" s="30"/>
      <c r="P64" s="30"/>
      <c r="Q64" s="30"/>
      <c r="R64" s="30"/>
    </row>
    <row r="65" spans="15:18" x14ac:dyDescent="0.35">
      <c r="O65" s="30"/>
      <c r="P65" s="30"/>
      <c r="Q65" s="30"/>
      <c r="R65" s="30"/>
    </row>
    <row r="66" spans="15:18" x14ac:dyDescent="0.35">
      <c r="O66" s="30"/>
      <c r="P66" s="30"/>
      <c r="Q66" s="30"/>
      <c r="R66" s="30"/>
    </row>
    <row r="67" spans="15:18" x14ac:dyDescent="0.35">
      <c r="O67" s="30"/>
      <c r="P67" s="30"/>
      <c r="Q67" s="30"/>
      <c r="R67" s="30"/>
    </row>
    <row r="68" spans="15:18" x14ac:dyDescent="0.35">
      <c r="O68" s="30"/>
      <c r="P68" s="30"/>
      <c r="Q68" s="30"/>
      <c r="R68" s="30"/>
    </row>
    <row r="69" spans="15:18" x14ac:dyDescent="0.35">
      <c r="O69" s="30"/>
      <c r="P69" s="30"/>
      <c r="Q69" s="30"/>
      <c r="R69" s="30"/>
    </row>
    <row r="70" spans="15:18" x14ac:dyDescent="0.35">
      <c r="O70" s="30"/>
      <c r="P70" s="30"/>
      <c r="Q70" s="30"/>
      <c r="R70" s="30"/>
    </row>
    <row r="71" spans="15:18" x14ac:dyDescent="0.35">
      <c r="O71" s="30"/>
      <c r="P71" s="30"/>
      <c r="Q71" s="30"/>
      <c r="R71" s="30"/>
    </row>
    <row r="72" spans="15:18" x14ac:dyDescent="0.35">
      <c r="O72" s="30"/>
      <c r="P72" s="30"/>
      <c r="Q72" s="30"/>
      <c r="R72" s="30"/>
    </row>
    <row r="73" spans="15:18" x14ac:dyDescent="0.35">
      <c r="O73" s="30"/>
      <c r="P73" s="30"/>
      <c r="Q73" s="30"/>
      <c r="R73" s="30"/>
    </row>
    <row r="74" spans="15:18" x14ac:dyDescent="0.35">
      <c r="O74" s="30"/>
      <c r="P74" s="30"/>
      <c r="Q74" s="30"/>
      <c r="R74" s="30"/>
    </row>
    <row r="75" spans="15:18" x14ac:dyDescent="0.35">
      <c r="O75" s="30"/>
      <c r="P75" s="30"/>
      <c r="Q75" s="30"/>
      <c r="R75" s="30"/>
    </row>
    <row r="76" spans="15:18" x14ac:dyDescent="0.35">
      <c r="O76" s="30"/>
      <c r="P76" s="30"/>
      <c r="Q76" s="30"/>
      <c r="R76" s="30"/>
    </row>
    <row r="77" spans="15:18" x14ac:dyDescent="0.35">
      <c r="O77" s="30"/>
      <c r="P77" s="30"/>
      <c r="Q77" s="30"/>
      <c r="R77" s="30"/>
    </row>
    <row r="78" spans="15:18" x14ac:dyDescent="0.35">
      <c r="O78" s="30"/>
      <c r="P78" s="30"/>
      <c r="Q78" s="30"/>
      <c r="R78" s="30"/>
    </row>
    <row r="79" spans="15:18" x14ac:dyDescent="0.35">
      <c r="O79" s="30"/>
      <c r="P79" s="30"/>
      <c r="Q79" s="30"/>
      <c r="R79" s="30"/>
    </row>
    <row r="80" spans="15:18" x14ac:dyDescent="0.35">
      <c r="O80" s="30"/>
      <c r="P80" s="30"/>
      <c r="Q80" s="30"/>
      <c r="R80" s="30"/>
    </row>
    <row r="81" spans="15:18" x14ac:dyDescent="0.35">
      <c r="O81" s="30"/>
      <c r="P81" s="30"/>
      <c r="Q81" s="30"/>
      <c r="R81" s="30"/>
    </row>
    <row r="82" spans="15:18" x14ac:dyDescent="0.35">
      <c r="O82" s="30"/>
      <c r="P82" s="30"/>
      <c r="Q82" s="30"/>
      <c r="R82" s="30"/>
    </row>
  </sheetData>
  <mergeCells count="56">
    <mergeCell ref="CW3:CW4"/>
    <mergeCell ref="AC3:AC4"/>
    <mergeCell ref="B3:B4"/>
    <mergeCell ref="C3:C4"/>
    <mergeCell ref="D3:D4"/>
    <mergeCell ref="F3:F4"/>
    <mergeCell ref="H3:I3"/>
    <mergeCell ref="M3:M4"/>
    <mergeCell ref="N3:N4"/>
    <mergeCell ref="O3:P3"/>
    <mergeCell ref="S3:S4"/>
    <mergeCell ref="T3:T4"/>
    <mergeCell ref="AB3:AB4"/>
    <mergeCell ref="G3:G4"/>
    <mergeCell ref="V3:Z3"/>
    <mergeCell ref="AD3:AD4"/>
    <mergeCell ref="AE3:AE4"/>
    <mergeCell ref="AI3:AI4"/>
    <mergeCell ref="CO3:CO4"/>
    <mergeCell ref="BU3:BU4"/>
    <mergeCell ref="BW3:BW4"/>
    <mergeCell ref="BY3:BY4"/>
    <mergeCell ref="CA3:CA4"/>
    <mergeCell ref="CC3:CC4"/>
    <mergeCell ref="CE3:CE4"/>
    <mergeCell ref="CG3:CG4"/>
    <mergeCell ref="CI3:CI4"/>
    <mergeCell ref="CK3:CK4"/>
    <mergeCell ref="AG3:AG4"/>
    <mergeCell ref="CM3:CM4"/>
    <mergeCell ref="AY3:AY4"/>
    <mergeCell ref="BA3:BA4"/>
    <mergeCell ref="CQ3:CQ4"/>
    <mergeCell ref="AM3:AM4"/>
    <mergeCell ref="AO3:AO4"/>
    <mergeCell ref="AQ3:AQ4"/>
    <mergeCell ref="AS3:AS4"/>
    <mergeCell ref="AU3:AU4"/>
    <mergeCell ref="AW3:AW4"/>
    <mergeCell ref="BS3:BS4"/>
    <mergeCell ref="AK3:AK4"/>
    <mergeCell ref="CS3:CS4"/>
    <mergeCell ref="CU3:CU4"/>
    <mergeCell ref="DC3:DC4"/>
    <mergeCell ref="BN3:BN4"/>
    <mergeCell ref="BP3:BP4"/>
    <mergeCell ref="BQ3:BQ4"/>
    <mergeCell ref="BR3:BR4"/>
    <mergeCell ref="CY3:CY4"/>
    <mergeCell ref="DA3:DA4"/>
    <mergeCell ref="BC3:BC4"/>
    <mergeCell ref="BE3:BE4"/>
    <mergeCell ref="BG3:BG4"/>
    <mergeCell ref="BI3:BI4"/>
    <mergeCell ref="BK3:BK4"/>
    <mergeCell ref="BM3:BM4"/>
  </mergeCells>
  <conditionalFormatting sqref="F9:F15 F6 F17:F18">
    <cfRule type="cellIs" dxfId="27" priority="25" operator="equal">
      <formula>0</formula>
    </cfRule>
  </conditionalFormatting>
  <conditionalFormatting sqref="F5">
    <cfRule type="cellIs" dxfId="26" priority="24" operator="equal">
      <formula>0</formula>
    </cfRule>
  </conditionalFormatting>
  <conditionalFormatting sqref="F7">
    <cfRule type="cellIs" dxfId="25" priority="23" operator="equal">
      <formula>0</formula>
    </cfRule>
  </conditionalFormatting>
  <conditionalFormatting sqref="F8">
    <cfRule type="cellIs" dxfId="24" priority="22" operator="equal">
      <formula>0</formula>
    </cfRule>
  </conditionalFormatting>
  <conditionalFormatting sqref="F19:F25 F27">
    <cfRule type="cellIs" dxfId="23" priority="21" operator="equal">
      <formula>0</formula>
    </cfRule>
  </conditionalFormatting>
  <conditionalFormatting sqref="F29:F31 E39:F39">
    <cfRule type="cellIs" dxfId="22" priority="20" operator="equal">
      <formula>0</formula>
    </cfRule>
  </conditionalFormatting>
  <conditionalFormatting sqref="F28">
    <cfRule type="cellIs" dxfId="21" priority="19" operator="equal">
      <formula>0</formula>
    </cfRule>
  </conditionalFormatting>
  <conditionalFormatting sqref="F16">
    <cfRule type="cellIs" dxfId="20" priority="18" operator="equal">
      <formula>0</formula>
    </cfRule>
  </conditionalFormatting>
  <conditionalFormatting sqref="F26">
    <cfRule type="cellIs" dxfId="19" priority="17" operator="equal">
      <formula>0</formula>
    </cfRule>
  </conditionalFormatting>
  <conditionalFormatting sqref="E5:E31">
    <cfRule type="cellIs" dxfId="18" priority="14" operator="equal">
      <formula>0</formula>
    </cfRule>
  </conditionalFormatting>
  <conditionalFormatting sqref="F32:F33 F35">
    <cfRule type="cellIs" dxfId="17" priority="5" operator="equal">
      <formula>0</formula>
    </cfRule>
  </conditionalFormatting>
  <conditionalFormatting sqref="E32:E38">
    <cfRule type="cellIs" dxfId="16" priority="1" operator="equal">
      <formula>0</formula>
    </cfRule>
  </conditionalFormatting>
  <conditionalFormatting sqref="F37:F38">
    <cfRule type="cellIs" dxfId="15" priority="4" operator="equal">
      <formula>0</formula>
    </cfRule>
  </conditionalFormatting>
  <conditionalFormatting sqref="F36">
    <cfRule type="cellIs" dxfId="14" priority="3" operator="equal">
      <formula>0</formula>
    </cfRule>
  </conditionalFormatting>
  <conditionalFormatting sqref="F34">
    <cfRule type="cellIs" dxfId="13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F17A-7637-487D-AD4D-C55BFE8744AA}">
  <dimension ref="A1:DO81"/>
  <sheetViews>
    <sheetView rightToLeft="1" zoomScale="80" zoomScaleNormal="80" workbookViewId="0"/>
  </sheetViews>
  <sheetFormatPr defaultRowHeight="14.5" x14ac:dyDescent="0.35"/>
  <cols>
    <col min="1" max="1" width="8.453125" style="30" customWidth="1"/>
    <col min="2" max="2" width="12.08984375" style="30" bestFit="1" customWidth="1"/>
    <col min="3" max="3" width="11.54296875" style="30" customWidth="1"/>
    <col min="4" max="4" width="20.90625" style="31" bestFit="1" customWidth="1"/>
    <col min="5" max="5" width="12.6328125" style="31" hidden="1" customWidth="1"/>
    <col min="6" max="6" width="9.7265625" style="30" bestFit="1" customWidth="1"/>
    <col min="7" max="7" width="2" style="30" customWidth="1"/>
    <col min="8" max="8" width="6.7265625" style="37" bestFit="1" customWidth="1"/>
    <col min="9" max="9" width="6.90625" style="37" bestFit="1" customWidth="1"/>
    <col min="10" max="10" width="4.81640625" style="103" hidden="1" customWidth="1"/>
    <col min="11" max="11" width="5.7265625" style="103" hidden="1" customWidth="1"/>
    <col min="12" max="12" width="7.36328125" style="30" customWidth="1"/>
    <col min="13" max="13" width="21.08984375" style="30" customWidth="1"/>
    <col min="14" max="14" width="9.7265625" style="30" customWidth="1"/>
    <col min="15" max="15" width="6.7265625" style="112" customWidth="1"/>
    <col min="16" max="16" width="6.90625" style="112" customWidth="1"/>
    <col min="17" max="17" width="6.08984375" style="103" hidden="1" customWidth="1"/>
    <col min="18" max="18" width="6.7265625" style="103" hidden="1" customWidth="1"/>
    <col min="19" max="19" width="1.6328125" style="30" customWidth="1"/>
    <col min="20" max="20" width="11.08984375" style="30" customWidth="1"/>
    <col min="21" max="21" width="6.81640625" style="30" customWidth="1"/>
    <col min="22" max="22" width="4.26953125" style="30" customWidth="1"/>
    <col min="23" max="23" width="6.7265625" style="30" bestFit="1" customWidth="1"/>
    <col min="24" max="24" width="2.90625" style="30" customWidth="1"/>
    <col min="25" max="25" width="7" style="30" bestFit="1" customWidth="1"/>
    <col min="26" max="26" width="4.36328125" style="30" customWidth="1"/>
    <col min="27" max="27" width="10.453125" style="30" customWidth="1"/>
    <col min="28" max="28" width="21.54296875" style="31" bestFit="1" customWidth="1"/>
    <col min="29" max="29" width="10.81640625" style="30" bestFit="1" customWidth="1"/>
    <col min="30" max="30" width="5.54296875" style="30" customWidth="1"/>
    <col min="31" max="31" width="6.08984375" style="30" bestFit="1" customWidth="1"/>
    <col min="32" max="32" width="5" style="30" customWidth="1"/>
    <col min="33" max="33" width="15.36328125" style="30" bestFit="1" customWidth="1"/>
    <col min="34" max="34" width="5" style="30" customWidth="1"/>
    <col min="35" max="35" width="13.6328125" style="30" bestFit="1" customWidth="1"/>
    <col min="36" max="36" width="5" style="30" customWidth="1"/>
    <col min="37" max="37" width="9.26953125" style="30" bestFit="1" customWidth="1"/>
    <col min="38" max="38" width="6.54296875" style="30" customWidth="1"/>
    <col min="39" max="39" width="14.08984375" style="30" bestFit="1" customWidth="1"/>
    <col min="40" max="40" width="5" style="30" customWidth="1"/>
    <col min="41" max="41" width="7" style="30" customWidth="1"/>
    <col min="42" max="42" width="5" style="30" customWidth="1"/>
    <col min="43" max="43" width="6.7265625" style="30" bestFit="1" customWidth="1"/>
    <col min="44" max="44" width="5" style="30" bestFit="1" customWidth="1"/>
    <col min="45" max="45" width="7" style="30" bestFit="1" customWidth="1"/>
    <col min="46" max="46" width="5" style="30" bestFit="1" customWidth="1"/>
    <col min="47" max="47" width="11.7265625" style="30" bestFit="1" customWidth="1"/>
    <col min="48" max="48" width="9" style="30" bestFit="1" customWidth="1"/>
    <col min="49" max="49" width="6.81640625" style="30" bestFit="1" customWidth="1"/>
    <col min="50" max="50" width="6.81640625" style="30" customWidth="1"/>
    <col min="51" max="51" width="6.81640625" style="30" bestFit="1" customWidth="1"/>
    <col min="52" max="52" width="6.81640625" style="30" customWidth="1"/>
    <col min="53" max="53" width="6.81640625" style="30" bestFit="1" customWidth="1"/>
    <col min="54" max="54" width="6.81640625" style="30" customWidth="1"/>
    <col min="55" max="55" width="6.36328125" style="30" bestFit="1" customWidth="1"/>
    <col min="56" max="56" width="5" style="30" bestFit="1" customWidth="1"/>
    <col min="57" max="57" width="6.90625" style="30" bestFit="1" customWidth="1"/>
    <col min="58" max="58" width="5" style="30" bestFit="1" customWidth="1"/>
    <col min="59" max="59" width="6.453125" style="30" bestFit="1" customWidth="1"/>
    <col min="60" max="60" width="5" style="30" bestFit="1" customWidth="1"/>
    <col min="61" max="61" width="6.453125" style="30" bestFit="1" customWidth="1"/>
    <col min="62" max="62" width="5" style="30" bestFit="1" customWidth="1"/>
    <col min="63" max="63" width="7" style="30" bestFit="1" customWidth="1"/>
    <col min="64" max="64" width="5" style="30" bestFit="1" customWidth="1"/>
    <col min="65" max="65" width="6.7265625" style="30" bestFit="1" customWidth="1"/>
    <col min="66" max="66" width="11.453125" style="30" bestFit="1" customWidth="1"/>
    <col min="67" max="67" width="8.7265625" style="30" bestFit="1"/>
    <col min="68" max="68" width="13.1796875" style="30" customWidth="1"/>
    <col min="69" max="69" width="12.7265625" style="30" customWidth="1"/>
    <col min="70" max="70" width="17.26953125" style="30" customWidth="1"/>
    <col min="71" max="71" width="6.36328125" style="30" bestFit="1" customWidth="1"/>
    <col min="72" max="72" width="6.08984375" style="30" customWidth="1"/>
    <col min="73" max="73" width="9.1796875" style="30" bestFit="1" customWidth="1"/>
    <col min="74" max="74" width="6.453125" style="30" bestFit="1" customWidth="1"/>
    <col min="75" max="75" width="8.7265625" style="30"/>
    <col min="76" max="76" width="6.7265625" style="30" customWidth="1"/>
    <col min="77" max="77" width="8.7265625" style="30"/>
    <col min="78" max="78" width="5" style="30" bestFit="1" customWidth="1"/>
    <col min="79" max="79" width="6.08984375" style="30" bestFit="1" customWidth="1"/>
    <col min="80" max="80" width="5" style="30" customWidth="1"/>
    <col min="81" max="81" width="6.08984375" style="30" bestFit="1" customWidth="1"/>
    <col min="82" max="82" width="5" style="30" customWidth="1"/>
    <col min="83" max="83" width="6.08984375" style="30" bestFit="1" customWidth="1"/>
    <col min="84" max="84" width="5" style="30" customWidth="1"/>
    <col min="85" max="85" width="8.7265625" style="30"/>
    <col min="86" max="86" width="5" style="30" bestFit="1" customWidth="1"/>
    <col min="87" max="87" width="13.81640625" style="30" bestFit="1" customWidth="1"/>
    <col min="88" max="88" width="6.08984375" style="30" customWidth="1"/>
    <col min="89" max="89" width="12.36328125" style="30" bestFit="1" customWidth="1"/>
    <col min="90" max="90" width="7.6328125" style="30" customWidth="1"/>
    <col min="91" max="91" width="14.90625" style="30" bestFit="1" customWidth="1"/>
    <col min="92" max="92" width="8.08984375" style="30" customWidth="1"/>
    <col min="93" max="93" width="7.453125" style="30" customWidth="1"/>
    <col min="94" max="94" width="5" style="30" customWidth="1"/>
    <col min="95" max="95" width="7.36328125" style="30" bestFit="1" customWidth="1"/>
    <col min="96" max="96" width="5" style="30" customWidth="1"/>
    <col min="97" max="97" width="8.7265625" style="30"/>
    <col min="98" max="98" width="6.08984375" style="30" bestFit="1" customWidth="1"/>
    <col min="99" max="99" width="8.7265625" style="30"/>
    <col min="100" max="100" width="6.08984375" style="30" bestFit="1" customWidth="1"/>
    <col min="101" max="101" width="17" style="30" customWidth="1"/>
    <col min="102" max="102" width="5" style="30" customWidth="1"/>
    <col min="103" max="103" width="19.08984375" style="132" bestFit="1" customWidth="1"/>
    <col min="104" max="104" width="5.54296875" style="30" customWidth="1"/>
    <col min="105" max="105" width="13.1796875" style="30" customWidth="1"/>
    <col min="106" max="106" width="6.08984375" style="30" bestFit="1" customWidth="1"/>
    <col min="107" max="16384" width="8.7265625" style="30"/>
  </cols>
  <sheetData>
    <row r="1" spans="1:119" ht="20.5" customHeight="1" thickBot="1" x14ac:dyDescent="0.4">
      <c r="A1" s="53"/>
      <c r="B1" s="53"/>
      <c r="C1" s="53"/>
      <c r="D1" s="64"/>
      <c r="E1" s="64"/>
      <c r="F1" s="53"/>
      <c r="G1" s="53"/>
      <c r="H1" s="65"/>
      <c r="I1" s="65"/>
      <c r="J1" s="91"/>
      <c r="K1" s="91"/>
      <c r="L1" s="53"/>
      <c r="M1" s="53"/>
      <c r="N1" s="53"/>
      <c r="O1" s="108"/>
      <c r="P1" s="108"/>
      <c r="Q1" s="91"/>
      <c r="R1" s="91"/>
      <c r="S1" s="53"/>
      <c r="T1" s="53"/>
      <c r="U1" s="53"/>
      <c r="V1" s="53"/>
      <c r="W1" s="53"/>
      <c r="X1" s="53"/>
      <c r="Y1" s="53"/>
      <c r="Z1" s="53"/>
      <c r="AA1" s="53"/>
      <c r="AB1" s="64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67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</row>
    <row r="2" spans="1:119" ht="19" customHeight="1" thickBot="1" x14ac:dyDescent="0.4">
      <c r="A2" s="53"/>
      <c r="B2" s="81" t="s">
        <v>46</v>
      </c>
      <c r="C2" s="82">
        <f>SUM(C8:C37)</f>
        <v>11907.100835965419</v>
      </c>
      <c r="D2" s="83"/>
      <c r="E2" s="83"/>
      <c r="F2" s="84"/>
      <c r="G2" s="84"/>
      <c r="H2" s="85"/>
      <c r="I2" s="85"/>
      <c r="J2" s="92"/>
      <c r="K2" s="92"/>
      <c r="L2" s="53"/>
      <c r="M2" s="53"/>
      <c r="N2" s="53"/>
      <c r="O2" s="108"/>
      <c r="P2" s="108"/>
      <c r="Q2" s="91"/>
      <c r="R2" s="91"/>
      <c r="S2" s="53"/>
      <c r="T2" s="53"/>
      <c r="U2" s="53"/>
      <c r="V2" s="53"/>
      <c r="W2" s="53"/>
      <c r="X2" s="53"/>
      <c r="Y2" s="53"/>
      <c r="Z2" s="53"/>
      <c r="AA2" s="53"/>
      <c r="AB2" s="66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155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53"/>
      <c r="DL2" s="53"/>
      <c r="DM2" s="53"/>
      <c r="DN2" s="53"/>
      <c r="DO2" s="53"/>
    </row>
    <row r="3" spans="1:119" ht="15.5" customHeight="1" x14ac:dyDescent="0.35">
      <c r="A3" s="53"/>
      <c r="B3" s="242" t="s">
        <v>42</v>
      </c>
      <c r="C3" s="244" t="s">
        <v>87</v>
      </c>
      <c r="D3" s="246" t="s">
        <v>58</v>
      </c>
      <c r="E3" s="26" t="s">
        <v>70</v>
      </c>
      <c r="F3" s="246" t="s">
        <v>60</v>
      </c>
      <c r="G3" s="246"/>
      <c r="H3" s="248" t="s">
        <v>47</v>
      </c>
      <c r="I3" s="249"/>
      <c r="J3" s="93"/>
      <c r="K3" s="94"/>
      <c r="L3" s="68"/>
      <c r="M3" s="250" t="s">
        <v>59</v>
      </c>
      <c r="N3" s="246"/>
      <c r="O3" s="252" t="s">
        <v>57</v>
      </c>
      <c r="P3" s="252"/>
      <c r="Q3" s="104"/>
      <c r="R3" s="104"/>
      <c r="S3" s="253"/>
      <c r="T3" s="255" t="s">
        <v>44</v>
      </c>
      <c r="U3" s="53"/>
      <c r="V3" s="259" t="s">
        <v>163</v>
      </c>
      <c r="W3" s="260"/>
      <c r="X3" s="260"/>
      <c r="Y3" s="260"/>
      <c r="Z3" s="261"/>
      <c r="AA3" s="53"/>
      <c r="AB3" s="257"/>
      <c r="AC3" s="236" t="s">
        <v>35</v>
      </c>
      <c r="AD3" s="262" t="s">
        <v>49</v>
      </c>
      <c r="AE3" s="236" t="s">
        <v>36</v>
      </c>
      <c r="AF3" s="147"/>
      <c r="AG3" s="236" t="s">
        <v>93</v>
      </c>
      <c r="AH3" s="147"/>
      <c r="AI3" s="236" t="s">
        <v>139</v>
      </c>
      <c r="AJ3" s="147"/>
      <c r="AK3" s="236" t="s">
        <v>29</v>
      </c>
      <c r="AL3" s="147"/>
      <c r="AM3" s="236" t="s">
        <v>94</v>
      </c>
      <c r="AN3" s="147"/>
      <c r="AO3" s="236" t="s">
        <v>28</v>
      </c>
      <c r="AP3" s="147"/>
      <c r="AQ3" s="238" t="s">
        <v>140</v>
      </c>
      <c r="AR3" s="148"/>
      <c r="AS3" s="238" t="s">
        <v>141</v>
      </c>
      <c r="AT3" s="148"/>
      <c r="AU3" s="238" t="s">
        <v>142</v>
      </c>
      <c r="AV3" s="148"/>
      <c r="AW3" s="238" t="s">
        <v>143</v>
      </c>
      <c r="AX3" s="148"/>
      <c r="AY3" s="238" t="s">
        <v>144</v>
      </c>
      <c r="AZ3" s="148"/>
      <c r="BA3" s="238" t="s">
        <v>145</v>
      </c>
      <c r="BB3" s="148"/>
      <c r="BC3" s="238" t="s">
        <v>146</v>
      </c>
      <c r="BD3" s="148"/>
      <c r="BE3" s="238" t="s">
        <v>147</v>
      </c>
      <c r="BF3" s="148"/>
      <c r="BG3" s="238" t="s">
        <v>148</v>
      </c>
      <c r="BH3" s="148"/>
      <c r="BI3" s="238" t="s">
        <v>149</v>
      </c>
      <c r="BJ3" s="148"/>
      <c r="BK3" s="238" t="s">
        <v>151</v>
      </c>
      <c r="BL3" s="148"/>
      <c r="BM3" s="238" t="s">
        <v>153</v>
      </c>
      <c r="BN3" s="238" t="s">
        <v>154</v>
      </c>
      <c r="BO3" s="148"/>
      <c r="BP3" s="238" t="s">
        <v>106</v>
      </c>
      <c r="BQ3" s="238" t="s">
        <v>107</v>
      </c>
      <c r="BR3" s="238" t="s">
        <v>32</v>
      </c>
      <c r="BS3" s="236" t="s">
        <v>39</v>
      </c>
      <c r="BT3" s="147"/>
      <c r="BU3" s="236" t="s">
        <v>37</v>
      </c>
      <c r="BV3" s="191"/>
      <c r="BW3" s="236" t="s">
        <v>38</v>
      </c>
      <c r="BX3" s="147"/>
      <c r="BY3" s="240" t="s">
        <v>104</v>
      </c>
      <c r="BZ3" s="150"/>
      <c r="CA3" s="236" t="s">
        <v>40</v>
      </c>
      <c r="CB3" s="147"/>
      <c r="CC3" s="236" t="s">
        <v>45</v>
      </c>
      <c r="CD3" s="147"/>
      <c r="CE3" s="236" t="s">
        <v>41</v>
      </c>
      <c r="CF3" s="147"/>
      <c r="CG3" s="236" t="s">
        <v>105</v>
      </c>
      <c r="CH3" s="191"/>
      <c r="CI3" s="236" t="s">
        <v>1</v>
      </c>
      <c r="CJ3" s="147"/>
      <c r="CK3" s="236" t="s">
        <v>2</v>
      </c>
      <c r="CL3" s="147"/>
      <c r="CM3" s="236" t="s">
        <v>25</v>
      </c>
      <c r="CN3" s="147"/>
      <c r="CO3" s="236" t="s">
        <v>26</v>
      </c>
      <c r="CP3" s="147"/>
      <c r="CQ3" s="236" t="s">
        <v>27</v>
      </c>
      <c r="CR3" s="147"/>
      <c r="CS3" s="236" t="s">
        <v>30</v>
      </c>
      <c r="CT3" s="191"/>
      <c r="CU3" s="236" t="s">
        <v>31</v>
      </c>
      <c r="CV3" s="191"/>
      <c r="CW3" s="236" t="s">
        <v>33</v>
      </c>
      <c r="CX3" s="147"/>
      <c r="CY3" s="236" t="s">
        <v>95</v>
      </c>
      <c r="CZ3" s="147"/>
      <c r="DA3" s="236" t="s">
        <v>0</v>
      </c>
      <c r="DB3" s="191"/>
      <c r="DC3" s="153"/>
      <c r="DD3" s="147"/>
      <c r="DE3" s="147"/>
      <c r="DF3" s="147"/>
      <c r="DG3" s="147"/>
      <c r="DH3" s="147"/>
      <c r="DI3" s="147"/>
      <c r="DJ3" s="151"/>
      <c r="DK3" s="53"/>
      <c r="DL3" s="53"/>
      <c r="DM3" s="53"/>
      <c r="DN3" s="53"/>
      <c r="DO3" s="53"/>
    </row>
    <row r="4" spans="1:119" s="32" customFormat="1" ht="15" x14ac:dyDescent="0.35">
      <c r="A4" s="34"/>
      <c r="B4" s="243"/>
      <c r="C4" s="245"/>
      <c r="D4" s="247"/>
      <c r="E4" s="24">
        <v>1000</v>
      </c>
      <c r="F4" s="247"/>
      <c r="G4" s="247"/>
      <c r="H4" s="40" t="s">
        <v>89</v>
      </c>
      <c r="I4" s="41" t="s">
        <v>90</v>
      </c>
      <c r="J4" s="95" t="s">
        <v>91</v>
      </c>
      <c r="K4" s="96" t="s">
        <v>92</v>
      </c>
      <c r="L4" s="68"/>
      <c r="M4" s="251"/>
      <c r="N4" s="247"/>
      <c r="O4" s="25" t="s">
        <v>89</v>
      </c>
      <c r="P4" s="25" t="s">
        <v>90</v>
      </c>
      <c r="Q4" s="105" t="s">
        <v>91</v>
      </c>
      <c r="R4" s="105" t="s">
        <v>92</v>
      </c>
      <c r="S4" s="254"/>
      <c r="T4" s="256"/>
      <c r="U4" s="34"/>
      <c r="V4" s="3"/>
      <c r="W4" s="4" t="s">
        <v>89</v>
      </c>
      <c r="X4" s="21"/>
      <c r="Y4" s="22" t="s">
        <v>90</v>
      </c>
      <c r="Z4" s="5"/>
      <c r="AA4" s="34"/>
      <c r="AB4" s="258"/>
      <c r="AC4" s="237"/>
      <c r="AD4" s="263"/>
      <c r="AE4" s="237"/>
      <c r="AF4" s="192" t="s">
        <v>48</v>
      </c>
      <c r="AG4" s="237"/>
      <c r="AH4" s="192" t="s">
        <v>67</v>
      </c>
      <c r="AI4" s="237"/>
      <c r="AJ4" s="192" t="s">
        <v>67</v>
      </c>
      <c r="AK4" s="237"/>
      <c r="AL4" s="192" t="s">
        <v>120</v>
      </c>
      <c r="AM4" s="237"/>
      <c r="AN4" s="192" t="s">
        <v>68</v>
      </c>
      <c r="AO4" s="237"/>
      <c r="AP4" s="192" t="s">
        <v>69</v>
      </c>
      <c r="AQ4" s="239"/>
      <c r="AR4" s="76" t="s">
        <v>108</v>
      </c>
      <c r="AS4" s="239"/>
      <c r="AT4" s="76" t="s">
        <v>124</v>
      </c>
      <c r="AU4" s="239"/>
      <c r="AV4" s="76" t="s">
        <v>131</v>
      </c>
      <c r="AW4" s="239"/>
      <c r="AX4" s="76" t="s">
        <v>109</v>
      </c>
      <c r="AY4" s="239"/>
      <c r="AZ4" s="76" t="s">
        <v>110</v>
      </c>
      <c r="BA4" s="239"/>
      <c r="BB4" s="76" t="s">
        <v>111</v>
      </c>
      <c r="BC4" s="239"/>
      <c r="BD4" s="76" t="s">
        <v>112</v>
      </c>
      <c r="BE4" s="239"/>
      <c r="BF4" s="76" t="s">
        <v>125</v>
      </c>
      <c r="BG4" s="239"/>
      <c r="BH4" s="76" t="s">
        <v>113</v>
      </c>
      <c r="BI4" s="239"/>
      <c r="BJ4" s="76" t="s">
        <v>150</v>
      </c>
      <c r="BK4" s="239"/>
      <c r="BL4" s="76" t="s">
        <v>152</v>
      </c>
      <c r="BM4" s="239"/>
      <c r="BN4" s="239"/>
      <c r="BO4" s="76" t="s">
        <v>155</v>
      </c>
      <c r="BP4" s="239"/>
      <c r="BQ4" s="239"/>
      <c r="BR4" s="239"/>
      <c r="BS4" s="237"/>
      <c r="BT4" s="192" t="s">
        <v>114</v>
      </c>
      <c r="BU4" s="237"/>
      <c r="BV4" s="192" t="s">
        <v>132</v>
      </c>
      <c r="BW4" s="237"/>
      <c r="BX4" s="192" t="s">
        <v>115</v>
      </c>
      <c r="BY4" s="241"/>
      <c r="BZ4" s="80" t="s">
        <v>126</v>
      </c>
      <c r="CA4" s="237"/>
      <c r="CB4" s="192" t="s">
        <v>63</v>
      </c>
      <c r="CC4" s="237"/>
      <c r="CD4" s="192" t="s">
        <v>64</v>
      </c>
      <c r="CE4" s="237"/>
      <c r="CF4" s="192" t="s">
        <v>65</v>
      </c>
      <c r="CG4" s="237"/>
      <c r="CH4" s="192" t="s">
        <v>127</v>
      </c>
      <c r="CI4" s="237"/>
      <c r="CJ4" s="192" t="s">
        <v>62</v>
      </c>
      <c r="CK4" s="237"/>
      <c r="CL4" s="192" t="s">
        <v>66</v>
      </c>
      <c r="CM4" s="237"/>
      <c r="CN4" s="192" t="s">
        <v>119</v>
      </c>
      <c r="CO4" s="237"/>
      <c r="CP4" s="192" t="s">
        <v>52</v>
      </c>
      <c r="CQ4" s="237"/>
      <c r="CR4" s="192" t="s">
        <v>53</v>
      </c>
      <c r="CS4" s="237"/>
      <c r="CT4" s="192" t="s">
        <v>128</v>
      </c>
      <c r="CU4" s="237"/>
      <c r="CV4" s="192" t="s">
        <v>129</v>
      </c>
      <c r="CW4" s="237"/>
      <c r="CX4" s="192" t="s">
        <v>118</v>
      </c>
      <c r="CY4" s="237"/>
      <c r="CZ4" s="192" t="s">
        <v>116</v>
      </c>
      <c r="DA4" s="237"/>
      <c r="DB4" s="192" t="s">
        <v>130</v>
      </c>
      <c r="DC4" s="154" t="s">
        <v>3</v>
      </c>
      <c r="DD4" s="190" t="s">
        <v>4</v>
      </c>
      <c r="DE4" s="190" t="s">
        <v>5</v>
      </c>
      <c r="DF4" s="190" t="s">
        <v>6</v>
      </c>
      <c r="DG4" s="190" t="s">
        <v>7</v>
      </c>
      <c r="DH4" s="190" t="s">
        <v>8</v>
      </c>
      <c r="DI4" s="190" t="s">
        <v>9</v>
      </c>
      <c r="DJ4" s="152" t="s">
        <v>10</v>
      </c>
      <c r="DK4" s="34"/>
      <c r="DL4" s="34"/>
      <c r="DM4" s="34"/>
      <c r="DN4" s="34"/>
      <c r="DO4" s="34"/>
    </row>
    <row r="5" spans="1:119" s="32" customFormat="1" ht="15" x14ac:dyDescent="0.35">
      <c r="A5" s="34"/>
      <c r="B5" s="59">
        <v>17000</v>
      </c>
      <c r="C5" s="58">
        <f>F5*B5%</f>
        <v>4784.8111631716765</v>
      </c>
      <c r="D5" s="114" t="s">
        <v>88</v>
      </c>
      <c r="E5" s="119">
        <f>F5*$E$4/$F$38</f>
        <v>281.45948018657083</v>
      </c>
      <c r="F5" s="119">
        <v>28.14594801865692</v>
      </c>
      <c r="G5" s="35"/>
      <c r="H5" s="28"/>
      <c r="I5" s="39"/>
      <c r="J5" s="97">
        <f>IF((H5)="",0,(H5))</f>
        <v>0</v>
      </c>
      <c r="K5" s="98">
        <f>IF((I5)="",100,(I5))</f>
        <v>100</v>
      </c>
      <c r="L5" s="34"/>
      <c r="M5" s="60" t="s">
        <v>71</v>
      </c>
      <c r="N5" s="61" t="s">
        <v>54</v>
      </c>
      <c r="O5" s="70"/>
      <c r="P5" s="70"/>
      <c r="Q5" s="107">
        <f>IF((O5)="",0,(O5))</f>
        <v>0</v>
      </c>
      <c r="R5" s="97">
        <f>IF((P5)="",10000,(P5))</f>
        <v>10000</v>
      </c>
      <c r="S5" s="35"/>
      <c r="T5" s="62">
        <f>SUM(AD5:AD37)</f>
        <v>3348.016361616852</v>
      </c>
      <c r="U5" s="34"/>
      <c r="V5" s="6"/>
      <c r="W5" s="70">
        <v>3000</v>
      </c>
      <c r="X5" s="19"/>
      <c r="Y5" s="70">
        <v>4000</v>
      </c>
      <c r="Z5" s="7"/>
      <c r="AA5" s="34"/>
      <c r="AB5" s="176" t="s">
        <v>88</v>
      </c>
      <c r="AC5" s="43">
        <v>3242</v>
      </c>
      <c r="AD5" s="42">
        <f t="shared" ref="AD5:AD37" si="0">F5*AC5%</f>
        <v>912.49163476485739</v>
      </c>
      <c r="AE5" s="45">
        <v>53.741999999999997</v>
      </c>
      <c r="AF5" s="44">
        <f t="shared" ref="AF5:AF37" si="1">F5*AE5%</f>
        <v>15.126195384186602</v>
      </c>
      <c r="AG5" s="47">
        <v>19.995999999999999</v>
      </c>
      <c r="AH5" s="46">
        <f t="shared" ref="AH5:AH17" si="2">F5*AG5%</f>
        <v>5.6280637658106381</v>
      </c>
      <c r="AI5" s="47">
        <v>19.995999999999999</v>
      </c>
      <c r="AJ5" s="46">
        <f t="shared" ref="AJ5:AJ17" si="3">F5*AI5%</f>
        <v>5.6280637658106381</v>
      </c>
      <c r="AK5" s="47"/>
      <c r="AL5" s="46">
        <f t="shared" ref="AL5:AL17" si="4">F5*AK5%</f>
        <v>0</v>
      </c>
      <c r="AM5" s="47"/>
      <c r="AN5" s="46">
        <f t="shared" ref="AN5:AN37" si="5">F5*AM5%</f>
        <v>0</v>
      </c>
      <c r="AO5" s="47">
        <v>6.7560000000000002</v>
      </c>
      <c r="AP5" s="46">
        <f t="shared" ref="AP5:AP37" si="6">F5*AO5%</f>
        <v>1.9015402481404617</v>
      </c>
      <c r="AQ5" s="47">
        <f>AE5*0.097-2.314</f>
        <v>2.8989739999999999</v>
      </c>
      <c r="AR5" s="46">
        <f t="shared" ref="AR5:AR21" si="7">F5*AQ5%</f>
        <v>0.81594371511437924</v>
      </c>
      <c r="AS5" s="47">
        <f>AE5*0.034-0.891</f>
        <v>0.93622800000000006</v>
      </c>
      <c r="AT5" s="46">
        <f t="shared" ref="AT5:AT21" si="8">F5*AS5%</f>
        <v>0.26351024621611135</v>
      </c>
      <c r="AU5" s="47">
        <f>AE5*0.0397-0.4523</f>
        <v>1.6812574</v>
      </c>
      <c r="AV5" s="46">
        <f t="shared" ref="AV5:AV21" si="9">F5*AU5%</f>
        <v>0.47320583386382287</v>
      </c>
      <c r="AW5" s="47">
        <f>AE5*0.054-0.932</f>
        <v>1.9700679999999999</v>
      </c>
      <c r="AX5" s="46">
        <f t="shared" ref="AX5:AX21" si="10">F5*AW5%</f>
        <v>0.55449431521219394</v>
      </c>
      <c r="AY5" s="47">
        <f>AE5*0.022-0.715</f>
        <v>0.46732399999999996</v>
      </c>
      <c r="AZ5" s="46">
        <f t="shared" ref="AZ5:AZ21" si="11">F5*AY5%</f>
        <v>0.13153277011870826</v>
      </c>
      <c r="BA5" s="47">
        <f>AE5*0.069-0.17</f>
        <v>3.5381980000000004</v>
      </c>
      <c r="BB5" s="46">
        <f t="shared" ref="BB5:BB24" si="12">F5*BA5%</f>
        <v>0.99585936987715895</v>
      </c>
      <c r="BC5" s="47">
        <f>AE5*0.061-1.336</f>
        <v>1.9422619999999997</v>
      </c>
      <c r="BD5" s="46">
        <f t="shared" ref="BD5:BD24" si="13">F5*BC5%</f>
        <v>0.54666805290612619</v>
      </c>
      <c r="BE5" s="47">
        <f>AE5*0.102-1.926</f>
        <v>3.5556839999999994</v>
      </c>
      <c r="BF5" s="46">
        <f t="shared" ref="BF5:BF24" si="14">F5*BE5%</f>
        <v>1.0007809703477009</v>
      </c>
      <c r="BG5" s="47">
        <f>AE5*0.065-1.059</f>
        <v>2.4342300000000003</v>
      </c>
      <c r="BH5" s="46">
        <f t="shared" ref="BH5:BH24" si="15">F5*BG5%</f>
        <v>0.6851371104545525</v>
      </c>
      <c r="BI5" s="47">
        <f>AE5*0.020752</f>
        <v>1.115253984</v>
      </c>
      <c r="BJ5" s="46">
        <f t="shared" ref="BJ5:BJ15" si="16">F5*BI5%</f>
        <v>0.31389880661264036</v>
      </c>
      <c r="BK5" s="47">
        <f>AE5*0.052-0.791</f>
        <v>2.0035839999999996</v>
      </c>
      <c r="BL5" s="46">
        <f t="shared" ref="BL5:BL15" si="17">F5*BK5%</f>
        <v>0.56392771115012696</v>
      </c>
      <c r="BM5" s="47">
        <f>AE5*0.029027</f>
        <v>1.5599690339999999</v>
      </c>
      <c r="BN5" s="47">
        <f t="shared" ref="BN5:BN10" si="18">BK5+BM5</f>
        <v>3.5635530339999995</v>
      </c>
      <c r="BO5" s="46">
        <f t="shared" ref="BO5:BO15" si="19">F5*BN5%</f>
        <v>1.0029957845669113</v>
      </c>
      <c r="BP5" s="47">
        <f>AE5*0.093043</f>
        <v>5.0003169060000001</v>
      </c>
      <c r="BQ5" s="48">
        <f>AE5*0.042694</f>
        <v>2.2944609480000002</v>
      </c>
      <c r="BR5" s="48">
        <f t="shared" ref="BR5:BR10" si="20">BP5+BQ5</f>
        <v>7.2947778540000003</v>
      </c>
      <c r="BS5" s="47">
        <v>3.98</v>
      </c>
      <c r="BT5" s="46">
        <f t="shared" ref="BT5:BT37" si="21">F5*BS5%</f>
        <v>1.1202087311425455</v>
      </c>
      <c r="BU5" s="47">
        <v>1.35</v>
      </c>
      <c r="BV5" s="46">
        <f t="shared" ref="BV5:BV37" si="22">F5*BU5%</f>
        <v>0.37997029825186845</v>
      </c>
      <c r="BW5" s="47">
        <f>BU5*0.9</f>
        <v>1.2150000000000001</v>
      </c>
      <c r="BX5" s="46">
        <f t="shared" ref="BX5:BX37" si="23">F5*BW5%</f>
        <v>0.34197326842668163</v>
      </c>
      <c r="BY5" s="47">
        <v>0.14000000000000001</v>
      </c>
      <c r="BZ5" s="46">
        <f t="shared" ref="BZ5:BZ37" si="24">F5*BY5%</f>
        <v>3.9404327226119695E-2</v>
      </c>
      <c r="CA5" s="47">
        <v>0.48</v>
      </c>
      <c r="CB5" s="46">
        <f t="shared" ref="CB5:CB37" si="25">F5*CA5%</f>
        <v>0.13510055048955322</v>
      </c>
      <c r="CC5" s="47">
        <v>0.52</v>
      </c>
      <c r="CD5" s="46">
        <f t="shared" ref="CD5:CD37" si="26">F5*CC5%</f>
        <v>0.14635892969701597</v>
      </c>
      <c r="CE5" s="47">
        <v>0.48</v>
      </c>
      <c r="CF5" s="46">
        <f t="shared" ref="CF5:CF37" si="27">F5*CE5%</f>
        <v>0.13510055048955322</v>
      </c>
      <c r="CG5" s="47">
        <v>0.51</v>
      </c>
      <c r="CH5" s="46">
        <f t="shared" ref="CH5:CH37" si="28">F5*CG5%</f>
        <v>0.14354433489515031</v>
      </c>
      <c r="CI5" s="43">
        <f t="shared" ref="CI5:CI13" si="29">(CA5*435)+(CC5*256)-(CE5*282)</f>
        <v>206.55999999999997</v>
      </c>
      <c r="CJ5" s="42">
        <f t="shared" ref="CJ5:CJ37" si="30">F5*CI5%</f>
        <v>58.138270227337728</v>
      </c>
      <c r="CK5" s="47">
        <v>6.0289999999999999</v>
      </c>
      <c r="CL5" s="46">
        <f>F5*CK5%</f>
        <v>1.6969192060448257</v>
      </c>
      <c r="CM5" s="47">
        <f>AG5*0.0131</f>
        <v>0.2619476</v>
      </c>
      <c r="CN5" s="46">
        <f t="shared" ref="CN5:CN37" si="31">F5*CM5%</f>
        <v>7.3727635332119346E-2</v>
      </c>
      <c r="CO5" s="47"/>
      <c r="CP5" s="46">
        <f t="shared" ref="CP5:CP37" si="32">F5*CO5%</f>
        <v>0</v>
      </c>
      <c r="CQ5" s="47"/>
      <c r="CR5" s="46">
        <f t="shared" ref="CR5:CR37" si="33">F5*CQ5%</f>
        <v>0</v>
      </c>
      <c r="CS5" s="47"/>
      <c r="CT5" s="46">
        <f t="shared" ref="CT5:CT37" si="34">F5*CS5%</f>
        <v>0</v>
      </c>
      <c r="CU5" s="47">
        <f t="shared" ref="CU5:CU15" si="35">DA5-(AE5+AG5+AM5+AO5)</f>
        <v>11.817999999999998</v>
      </c>
      <c r="CV5" s="46">
        <f t="shared" ref="CV5:CV37" si="36">F5*CU5%</f>
        <v>3.3262881368448745</v>
      </c>
      <c r="CW5" s="28">
        <v>0.56999999999999995</v>
      </c>
      <c r="CX5" s="46">
        <f t="shared" ref="CX5:CX37" si="37">F5*CW5%</f>
        <v>0.16043190370634441</v>
      </c>
      <c r="CY5" s="28">
        <v>3</v>
      </c>
      <c r="CZ5" s="35">
        <f t="shared" ref="CZ5:CZ37" si="38">F5*CY5%</f>
        <v>0.84437844055970757</v>
      </c>
      <c r="DA5" s="47">
        <v>92.311999999999998</v>
      </c>
      <c r="DB5" s="46">
        <f t="shared" ref="DB5:DB37" si="39">F5*DA5%</f>
        <v>25.982087534982576</v>
      </c>
      <c r="DC5" s="145"/>
      <c r="DD5" s="28"/>
      <c r="DE5" s="28">
        <v>12.98</v>
      </c>
      <c r="DF5" s="28">
        <v>33</v>
      </c>
      <c r="DG5" s="28"/>
      <c r="DH5" s="28"/>
      <c r="DI5" s="28"/>
      <c r="DJ5" s="39"/>
      <c r="DK5" s="34"/>
      <c r="DL5" s="34"/>
      <c r="DM5" s="34"/>
      <c r="DN5" s="34"/>
      <c r="DO5" s="34"/>
    </row>
    <row r="6" spans="1:119" s="32" customFormat="1" ht="15" x14ac:dyDescent="0.35">
      <c r="A6" s="34"/>
      <c r="B6" s="23">
        <v>20000</v>
      </c>
      <c r="C6" s="38">
        <f>F6*B6%</f>
        <v>157.15905464668276</v>
      </c>
      <c r="D6" s="113" t="s">
        <v>122</v>
      </c>
      <c r="E6" s="161">
        <f t="shared" ref="E6:E15" si="40">F6*$E$4/$F$38</f>
        <v>7.8579527323341836</v>
      </c>
      <c r="F6" s="120">
        <v>0.7857952732334138</v>
      </c>
      <c r="G6" s="36"/>
      <c r="H6" s="158"/>
      <c r="I6" s="87"/>
      <c r="J6" s="99">
        <f t="shared" ref="J6:J7" si="41">IF((H6)="",0,(H6))</f>
        <v>0</v>
      </c>
      <c r="K6" s="100">
        <f t="shared" ref="K6:K7" si="42">IF((I6)="",100,(I6))</f>
        <v>100</v>
      </c>
      <c r="L6" s="34"/>
      <c r="M6" s="1" t="s">
        <v>51</v>
      </c>
      <c r="N6" s="27" t="s">
        <v>55</v>
      </c>
      <c r="O6" s="9"/>
      <c r="P6" s="9"/>
      <c r="Q6" s="117">
        <f t="shared" ref="Q6:Q30" si="43">IF((O6)="",0,(O6))</f>
        <v>0</v>
      </c>
      <c r="R6" s="99">
        <f>IF((P6)="",1000,(P6))</f>
        <v>1000</v>
      </c>
      <c r="S6" s="36"/>
      <c r="T6" s="2">
        <f>SUM(AF5:AF37)</f>
        <v>24.996452107772441</v>
      </c>
      <c r="U6" s="34"/>
      <c r="V6" s="8"/>
      <c r="W6" s="9">
        <v>20</v>
      </c>
      <c r="X6" s="15"/>
      <c r="Y6" s="9">
        <v>25</v>
      </c>
      <c r="Z6" s="10"/>
      <c r="AA6" s="34"/>
      <c r="AB6" s="177" t="s">
        <v>122</v>
      </c>
      <c r="AC6" s="77">
        <v>1585.3104692500003</v>
      </c>
      <c r="AD6" s="72">
        <f t="shared" si="0"/>
        <v>12.457294733440955</v>
      </c>
      <c r="AE6" s="78">
        <v>27</v>
      </c>
      <c r="AF6" s="73">
        <f t="shared" si="1"/>
        <v>0.21216472377302173</v>
      </c>
      <c r="AG6" s="75">
        <v>3</v>
      </c>
      <c r="AH6" s="74">
        <f t="shared" si="2"/>
        <v>2.3573858197002414E-2</v>
      </c>
      <c r="AI6" s="75">
        <v>3</v>
      </c>
      <c r="AJ6" s="74">
        <f t="shared" si="3"/>
        <v>2.3573858197002414E-2</v>
      </c>
      <c r="AK6" s="75">
        <v>0</v>
      </c>
      <c r="AL6" s="74">
        <f t="shared" si="4"/>
        <v>0</v>
      </c>
      <c r="AM6" s="75">
        <v>2.25</v>
      </c>
      <c r="AN6" s="74">
        <f t="shared" si="5"/>
        <v>1.768039364775181E-2</v>
      </c>
      <c r="AO6" s="75">
        <v>36.75</v>
      </c>
      <c r="AP6" s="74">
        <f t="shared" si="6"/>
        <v>0.28877976291327956</v>
      </c>
      <c r="AQ6" s="75">
        <f>AE6*0.041-0.06</f>
        <v>1.0469999999999999</v>
      </c>
      <c r="AR6" s="74">
        <f t="shared" si="7"/>
        <v>8.2272765107538424E-3</v>
      </c>
      <c r="AS6" s="75">
        <f>AE6*0.01-0.032</f>
        <v>0.23800000000000002</v>
      </c>
      <c r="AT6" s="74">
        <f t="shared" si="8"/>
        <v>1.870192750295525E-3</v>
      </c>
      <c r="AU6" s="75">
        <f>AE6*0.019-0.154</f>
        <v>0.35899999999999999</v>
      </c>
      <c r="AV6" s="74">
        <f t="shared" si="9"/>
        <v>2.8210050309079556E-3</v>
      </c>
      <c r="AW6" s="75">
        <f>AE6*0.036-0.319</f>
        <v>0.65300000000000002</v>
      </c>
      <c r="AX6" s="74">
        <f t="shared" si="10"/>
        <v>5.1312431342141925E-3</v>
      </c>
      <c r="AY6" s="75">
        <f>AE6*0.008</f>
        <v>0.216</v>
      </c>
      <c r="AZ6" s="74">
        <f t="shared" si="11"/>
        <v>1.6973177901841738E-3</v>
      </c>
      <c r="BA6" s="75">
        <f>AE6*0.082-0.278</f>
        <v>1.9359999999999999</v>
      </c>
      <c r="BB6" s="74">
        <f t="shared" si="12"/>
        <v>1.521299648979889E-2</v>
      </c>
      <c r="BC6" s="75">
        <f>AE6*0.025-0.189</f>
        <v>0.48600000000000004</v>
      </c>
      <c r="BD6" s="74">
        <f t="shared" si="13"/>
        <v>3.8189650279143914E-3</v>
      </c>
      <c r="BE6" s="75">
        <f>AE6*0.065-0.611</f>
        <v>1.1440000000000001</v>
      </c>
      <c r="BF6" s="74">
        <f t="shared" si="14"/>
        <v>8.9894979257902543E-3</v>
      </c>
      <c r="BG6" s="75">
        <f>AE6*0.043-0.329</f>
        <v>0.83199999999999985</v>
      </c>
      <c r="BH6" s="74">
        <f t="shared" si="15"/>
        <v>6.5378166733020019E-3</v>
      </c>
      <c r="BI6" s="75">
        <f>AE6*0.017-0.166</f>
        <v>0.29300000000000004</v>
      </c>
      <c r="BJ6" s="74">
        <f t="shared" si="16"/>
        <v>2.3023801505739029E-3</v>
      </c>
      <c r="BK6" s="75">
        <f>AE6*0.025+0.03</f>
        <v>0.70500000000000007</v>
      </c>
      <c r="BL6" s="74">
        <f t="shared" si="17"/>
        <v>5.5398566762955683E-3</v>
      </c>
      <c r="BM6" s="75">
        <f>AE6*0.032-0.427</f>
        <v>0.437</v>
      </c>
      <c r="BN6" s="75">
        <f t="shared" si="18"/>
        <v>1.1420000000000001</v>
      </c>
      <c r="BO6" s="74">
        <f t="shared" si="19"/>
        <v>8.9737820203255863E-3</v>
      </c>
      <c r="BP6" s="75">
        <f>AE6*0.169+0.094</f>
        <v>4.6570000000000009</v>
      </c>
      <c r="BQ6" s="178">
        <f>AE6*0.055-0.532</f>
        <v>0.95300000000000007</v>
      </c>
      <c r="BR6" s="178">
        <f t="shared" si="20"/>
        <v>5.6100000000000012</v>
      </c>
      <c r="BS6" s="75">
        <v>16.5</v>
      </c>
      <c r="BT6" s="74">
        <f t="shared" si="21"/>
        <v>0.1296562200835133</v>
      </c>
      <c r="BU6" s="75">
        <v>7.5</v>
      </c>
      <c r="BV6" s="74">
        <f t="shared" si="22"/>
        <v>5.893464549250603E-2</v>
      </c>
      <c r="BW6" s="75">
        <f>BU6*0.9</f>
        <v>6.75</v>
      </c>
      <c r="BX6" s="74">
        <f t="shared" si="23"/>
        <v>5.3041180943255432E-2</v>
      </c>
      <c r="BY6" s="75">
        <v>0.4</v>
      </c>
      <c r="BZ6" s="74">
        <f t="shared" si="24"/>
        <v>3.1431810929336552E-3</v>
      </c>
      <c r="CA6" s="75">
        <v>0.5</v>
      </c>
      <c r="CB6" s="74">
        <f t="shared" si="25"/>
        <v>3.9289763661670687E-3</v>
      </c>
      <c r="CC6" s="75">
        <v>0</v>
      </c>
      <c r="CD6" s="74">
        <f t="shared" si="26"/>
        <v>0</v>
      </c>
      <c r="CE6" s="75">
        <v>0</v>
      </c>
      <c r="CF6" s="74">
        <f t="shared" si="27"/>
        <v>0</v>
      </c>
      <c r="CG6" s="75">
        <v>0</v>
      </c>
      <c r="CH6" s="74">
        <f t="shared" si="28"/>
        <v>0</v>
      </c>
      <c r="CI6" s="77">
        <f t="shared" si="29"/>
        <v>217.5</v>
      </c>
      <c r="CJ6" s="72">
        <f t="shared" si="30"/>
        <v>1.7091047192826749</v>
      </c>
      <c r="CK6" s="75">
        <v>0</v>
      </c>
      <c r="CL6" s="74">
        <f t="shared" ref="CL6:CL37" si="44">F6*CK6%</f>
        <v>0</v>
      </c>
      <c r="CM6" s="75">
        <f>AG6*0.013</f>
        <v>3.9E-2</v>
      </c>
      <c r="CN6" s="74">
        <f t="shared" si="31"/>
        <v>3.0646015656103138E-4</v>
      </c>
      <c r="CO6" s="75">
        <v>0</v>
      </c>
      <c r="CP6" s="74">
        <f t="shared" si="32"/>
        <v>0</v>
      </c>
      <c r="CQ6" s="75">
        <v>0</v>
      </c>
      <c r="CR6" s="74">
        <f t="shared" si="33"/>
        <v>0</v>
      </c>
      <c r="CS6" s="75">
        <v>0</v>
      </c>
      <c r="CT6" s="74">
        <f t="shared" si="34"/>
        <v>0</v>
      </c>
      <c r="CU6" s="75">
        <f t="shared" si="35"/>
        <v>22</v>
      </c>
      <c r="CV6" s="74">
        <f t="shared" si="36"/>
        <v>0.17287496011135103</v>
      </c>
      <c r="CW6" s="54">
        <v>1</v>
      </c>
      <c r="CX6" s="74">
        <f t="shared" si="37"/>
        <v>7.8579527323341374E-3</v>
      </c>
      <c r="CY6" s="54">
        <v>3</v>
      </c>
      <c r="CZ6" s="79">
        <f t="shared" si="38"/>
        <v>2.3573858197002414E-2</v>
      </c>
      <c r="DA6" s="78">
        <v>91</v>
      </c>
      <c r="DB6" s="74">
        <f t="shared" si="39"/>
        <v>0.71507369864240655</v>
      </c>
      <c r="DC6" s="179">
        <v>14.2</v>
      </c>
      <c r="DD6" s="54">
        <v>-19.149999999999999</v>
      </c>
      <c r="DE6" s="54"/>
      <c r="DF6" s="54">
        <v>25.1</v>
      </c>
      <c r="DG6" s="54"/>
      <c r="DH6" s="54"/>
      <c r="DI6" s="54"/>
      <c r="DJ6" s="162"/>
      <c r="DK6" s="34"/>
      <c r="DL6" s="34"/>
      <c r="DM6" s="34"/>
      <c r="DN6" s="34"/>
      <c r="DO6" s="34"/>
    </row>
    <row r="7" spans="1:119" s="32" customFormat="1" ht="15" x14ac:dyDescent="0.3">
      <c r="A7" s="34"/>
      <c r="B7" s="59">
        <v>30000</v>
      </c>
      <c r="C7" s="58">
        <f>F7*B7%</f>
        <v>6000</v>
      </c>
      <c r="D7" s="114" t="s">
        <v>123</v>
      </c>
      <c r="E7" s="119">
        <f t="shared" si="40"/>
        <v>200.00000000000117</v>
      </c>
      <c r="F7" s="119">
        <v>20</v>
      </c>
      <c r="G7" s="35"/>
      <c r="H7" s="28"/>
      <c r="I7" s="39">
        <v>20</v>
      </c>
      <c r="J7" s="97">
        <f t="shared" si="41"/>
        <v>0</v>
      </c>
      <c r="K7" s="98">
        <f t="shared" si="42"/>
        <v>20</v>
      </c>
      <c r="L7" s="68"/>
      <c r="M7" s="60" t="s">
        <v>161</v>
      </c>
      <c r="N7" s="61" t="s">
        <v>55</v>
      </c>
      <c r="O7" s="71">
        <v>14</v>
      </c>
      <c r="P7" s="193"/>
      <c r="Q7" s="189">
        <f t="shared" si="43"/>
        <v>14</v>
      </c>
      <c r="R7" s="97">
        <f t="shared" ref="R7:R8" si="45">IF((P7)="",1000,(P7))</f>
        <v>1000</v>
      </c>
      <c r="S7" s="35"/>
      <c r="T7" s="63">
        <f>SUM(AH5:AH37)</f>
        <v>13.999999999999989</v>
      </c>
      <c r="U7" s="34"/>
      <c r="V7" s="8"/>
      <c r="W7" s="193">
        <v>9</v>
      </c>
      <c r="X7" s="201"/>
      <c r="Y7" s="193">
        <v>14</v>
      </c>
      <c r="Z7" s="10"/>
      <c r="AA7" s="34"/>
      <c r="AB7" s="143" t="s">
        <v>123</v>
      </c>
      <c r="AC7" s="134">
        <v>3512.163075427999</v>
      </c>
      <c r="AD7" s="42">
        <f t="shared" si="0"/>
        <v>702.43261508559976</v>
      </c>
      <c r="AE7" s="135">
        <v>8.2100000000000009</v>
      </c>
      <c r="AF7" s="44">
        <f t="shared" si="1"/>
        <v>1.6420000000000001</v>
      </c>
      <c r="AG7" s="137">
        <v>1.17</v>
      </c>
      <c r="AH7" s="46">
        <f t="shared" si="2"/>
        <v>0.23399999999999999</v>
      </c>
      <c r="AI7" s="137">
        <v>1.17</v>
      </c>
      <c r="AJ7" s="46">
        <f t="shared" si="3"/>
        <v>0.23399999999999999</v>
      </c>
      <c r="AK7" s="137">
        <v>76.040000000000006</v>
      </c>
      <c r="AL7" s="46">
        <f t="shared" si="4"/>
        <v>15.208000000000002</v>
      </c>
      <c r="AM7" s="137">
        <v>0.47</v>
      </c>
      <c r="AN7" s="46">
        <f t="shared" si="5"/>
        <v>9.3999999999999986E-2</v>
      </c>
      <c r="AO7" s="137">
        <v>0.77</v>
      </c>
      <c r="AP7" s="46">
        <f t="shared" si="6"/>
        <v>0.154</v>
      </c>
      <c r="AQ7" s="136">
        <f>AE7*0.034+0.008</f>
        <v>0.28714000000000006</v>
      </c>
      <c r="AR7" s="46">
        <f t="shared" si="7"/>
        <v>5.7428000000000007E-2</v>
      </c>
      <c r="AS7" s="136">
        <f>AE7*0.018+0.065</f>
        <v>0.21278</v>
      </c>
      <c r="AT7" s="46">
        <f t="shared" si="8"/>
        <v>4.2555999999999997E-2</v>
      </c>
      <c r="AU7" s="136">
        <f>AE7*0.038+0.088</f>
        <v>0.39998</v>
      </c>
      <c r="AV7" s="46">
        <f t="shared" si="9"/>
        <v>7.9996000000000012E-2</v>
      </c>
      <c r="AW7" s="136">
        <f>AE7*0.034+0.002</f>
        <v>0.28114000000000006</v>
      </c>
      <c r="AX7" s="46">
        <f t="shared" si="10"/>
        <v>5.6228000000000007E-2</v>
      </c>
      <c r="AY7" s="136">
        <f>AE7*0.011+0.014</f>
        <v>0.10431</v>
      </c>
      <c r="AZ7" s="46">
        <f t="shared" si="11"/>
        <v>2.0861999999999999E-2</v>
      </c>
      <c r="BA7" s="136">
        <f>AE7*0.08-0.03</f>
        <v>0.62680000000000002</v>
      </c>
      <c r="BB7" s="46">
        <f t="shared" si="12"/>
        <v>0.12536</v>
      </c>
      <c r="BC7" s="136">
        <f>AE7*0.037+0.016</f>
        <v>0.31977000000000005</v>
      </c>
      <c r="BD7" s="46">
        <f t="shared" si="13"/>
        <v>6.3954000000000011E-2</v>
      </c>
      <c r="BE7" s="136">
        <f>AE7*0.075+0.021</f>
        <v>0.63675000000000004</v>
      </c>
      <c r="BF7" s="46">
        <f t="shared" si="14"/>
        <v>0.12735000000000002</v>
      </c>
      <c r="BG7" s="136">
        <f>AE7*0.054+0.02</f>
        <v>0.46334000000000009</v>
      </c>
      <c r="BH7" s="46">
        <f t="shared" si="15"/>
        <v>9.2668000000000028E-2</v>
      </c>
      <c r="BI7" s="136">
        <f>AE7*0.024-0.013</f>
        <v>0.18404000000000001</v>
      </c>
      <c r="BJ7" s="46">
        <f t="shared" si="16"/>
        <v>3.6808E-2</v>
      </c>
      <c r="BK7" s="136">
        <f>AE7*0.052-0.025</f>
        <v>0.40192</v>
      </c>
      <c r="BL7" s="46">
        <f t="shared" si="17"/>
        <v>8.0383999999999997E-2</v>
      </c>
      <c r="BM7" s="136">
        <f>AE7*0.04568</f>
        <v>0.3750328</v>
      </c>
      <c r="BN7" s="136">
        <f t="shared" si="18"/>
        <v>0.7769528</v>
      </c>
      <c r="BO7" s="46">
        <f t="shared" si="19"/>
        <v>0.15539056000000001</v>
      </c>
      <c r="BP7" s="136">
        <f>AE7*0.044-0.006</f>
        <v>0.35524</v>
      </c>
      <c r="BQ7" s="136">
        <f>AE7*0.046+0.005</f>
        <v>0.38266000000000006</v>
      </c>
      <c r="BR7" s="136">
        <f t="shared" si="20"/>
        <v>0.7379</v>
      </c>
      <c r="BS7" s="136">
        <v>0.05</v>
      </c>
      <c r="BT7" s="46">
        <f t="shared" si="21"/>
        <v>0.01</v>
      </c>
      <c r="BU7" s="136">
        <v>0.13</v>
      </c>
      <c r="BV7" s="46">
        <f t="shared" si="22"/>
        <v>2.5999999999999999E-2</v>
      </c>
      <c r="BW7" s="136">
        <f>BU7*0.46</f>
        <v>5.9800000000000006E-2</v>
      </c>
      <c r="BX7" s="46">
        <f t="shared" si="23"/>
        <v>1.196E-2</v>
      </c>
      <c r="BY7" s="136">
        <v>0.04</v>
      </c>
      <c r="BZ7" s="46">
        <f t="shared" si="24"/>
        <v>8.0000000000000002E-3</v>
      </c>
      <c r="CA7" s="136">
        <v>4.0000000000000001E-3</v>
      </c>
      <c r="CB7" s="46">
        <f t="shared" si="25"/>
        <v>8.0000000000000004E-4</v>
      </c>
      <c r="CC7" s="137">
        <v>0.31</v>
      </c>
      <c r="CD7" s="46">
        <f t="shared" si="26"/>
        <v>6.2E-2</v>
      </c>
      <c r="CE7" s="136">
        <v>0.04</v>
      </c>
      <c r="CF7" s="46">
        <f t="shared" si="27"/>
        <v>8.0000000000000002E-3</v>
      </c>
      <c r="CG7" s="137">
        <v>0.08</v>
      </c>
      <c r="CH7" s="46">
        <f t="shared" si="28"/>
        <v>1.6E-2</v>
      </c>
      <c r="CI7" s="137">
        <f t="shared" si="29"/>
        <v>69.819999999999993</v>
      </c>
      <c r="CJ7" s="42">
        <f t="shared" si="30"/>
        <v>13.963999999999999</v>
      </c>
      <c r="CK7" s="136">
        <v>0.97399999999999998</v>
      </c>
      <c r="CL7" s="46">
        <f t="shared" si="44"/>
        <v>0.1948</v>
      </c>
      <c r="CM7" s="137">
        <f>AG7*0.323</f>
        <v>0.37790999999999997</v>
      </c>
      <c r="CN7" s="46">
        <f t="shared" si="31"/>
        <v>7.5581999999999996E-2</v>
      </c>
      <c r="CO7" s="137">
        <v>4.7300000000000004</v>
      </c>
      <c r="CP7" s="46">
        <f t="shared" si="32"/>
        <v>0.94600000000000006</v>
      </c>
      <c r="CQ7" s="137">
        <v>1.19</v>
      </c>
      <c r="CR7" s="46">
        <f t="shared" si="33"/>
        <v>0.23799999999999999</v>
      </c>
      <c r="CS7" s="137">
        <v>0.48</v>
      </c>
      <c r="CT7" s="46">
        <f t="shared" si="34"/>
        <v>9.5999999999999988E-2</v>
      </c>
      <c r="CU7" s="137">
        <f t="shared" si="35"/>
        <v>77.38</v>
      </c>
      <c r="CV7" s="46">
        <f t="shared" si="36"/>
        <v>15.475999999999999</v>
      </c>
      <c r="CW7" s="126">
        <v>0.48</v>
      </c>
      <c r="CX7" s="46">
        <f t="shared" si="37"/>
        <v>9.5999999999999988E-2</v>
      </c>
      <c r="CY7" s="126">
        <v>5</v>
      </c>
      <c r="CZ7" s="35">
        <f t="shared" si="38"/>
        <v>1</v>
      </c>
      <c r="DA7" s="135">
        <v>88</v>
      </c>
      <c r="DB7" s="46">
        <f t="shared" si="39"/>
        <v>17.600000000000001</v>
      </c>
      <c r="DC7" s="125">
        <v>19.54</v>
      </c>
      <c r="DD7" s="126">
        <v>-19.54</v>
      </c>
      <c r="DE7" s="126">
        <v>-29.1</v>
      </c>
      <c r="DF7" s="126">
        <v>17.97</v>
      </c>
      <c r="DG7" s="126">
        <v>-34.29</v>
      </c>
      <c r="DH7" s="126"/>
      <c r="DI7" s="126"/>
      <c r="DJ7" s="127"/>
      <c r="DK7" s="138"/>
      <c r="DL7" s="34"/>
      <c r="DM7" s="34"/>
      <c r="DN7" s="34"/>
      <c r="DO7" s="34"/>
    </row>
    <row r="8" spans="1:119" s="32" customFormat="1" ht="15" x14ac:dyDescent="0.35">
      <c r="A8" s="34"/>
      <c r="B8" s="23">
        <v>13000</v>
      </c>
      <c r="C8" s="38">
        <f t="shared" ref="C8:C36" si="46">F8*B8%</f>
        <v>2509.0878588129681</v>
      </c>
      <c r="D8" s="113" t="s">
        <v>11</v>
      </c>
      <c r="E8" s="161">
        <f t="shared" si="40"/>
        <v>193.00675837022942</v>
      </c>
      <c r="F8" s="120">
        <v>19.30067583702283</v>
      </c>
      <c r="G8" s="36"/>
      <c r="H8" s="158"/>
      <c r="I8" s="87"/>
      <c r="J8" s="163">
        <f>IF((H8)="",0,(H8))</f>
        <v>0</v>
      </c>
      <c r="K8" s="164">
        <f>IF((I8)="",100,(I8))</f>
        <v>100</v>
      </c>
      <c r="L8" s="68"/>
      <c r="M8" s="88" t="s">
        <v>162</v>
      </c>
      <c r="N8" s="89" t="s">
        <v>55</v>
      </c>
      <c r="O8" s="12"/>
      <c r="P8" s="9">
        <v>7</v>
      </c>
      <c r="Q8" s="117">
        <f t="shared" si="43"/>
        <v>0</v>
      </c>
      <c r="R8" s="99">
        <f t="shared" si="45"/>
        <v>7</v>
      </c>
      <c r="S8" s="79"/>
      <c r="T8" s="2">
        <f>SUM(AJ5:AJ37)</f>
        <v>6.9999999999999849</v>
      </c>
      <c r="U8" s="34"/>
      <c r="V8" s="8"/>
      <c r="W8" s="9">
        <v>6</v>
      </c>
      <c r="X8" s="201"/>
      <c r="Y8" s="9">
        <v>7</v>
      </c>
      <c r="Z8" s="10"/>
      <c r="AA8" s="34"/>
      <c r="AB8" s="177" t="s">
        <v>11</v>
      </c>
      <c r="AC8" s="77">
        <v>3315</v>
      </c>
      <c r="AD8" s="72">
        <f t="shared" si="0"/>
        <v>639.81740399730677</v>
      </c>
      <c r="AE8" s="78">
        <v>7.42</v>
      </c>
      <c r="AF8" s="73">
        <f t="shared" si="1"/>
        <v>1.4321101471070941</v>
      </c>
      <c r="AG8" s="75">
        <v>3.76</v>
      </c>
      <c r="AH8" s="74">
        <f t="shared" si="2"/>
        <v>0.72570541147205825</v>
      </c>
      <c r="AI8" s="75">
        <v>3.76</v>
      </c>
      <c r="AJ8" s="74">
        <f t="shared" si="3"/>
        <v>0.72570541147205825</v>
      </c>
      <c r="AK8" s="75">
        <v>63.442</v>
      </c>
      <c r="AL8" s="74">
        <f t="shared" si="4"/>
        <v>12.244734764524024</v>
      </c>
      <c r="AM8" s="75">
        <v>2.2930000000000001</v>
      </c>
      <c r="AN8" s="74">
        <f t="shared" si="5"/>
        <v>0.44256449694293354</v>
      </c>
      <c r="AO8" s="75">
        <v>1.145</v>
      </c>
      <c r="AP8" s="74">
        <f t="shared" si="6"/>
        <v>0.22099273833391139</v>
      </c>
      <c r="AQ8" s="75">
        <f>AE8*0.0301</f>
        <v>0.22334199999999998</v>
      </c>
      <c r="AR8" s="74">
        <f t="shared" si="7"/>
        <v>4.3106515427923528E-2</v>
      </c>
      <c r="AS8" s="75">
        <f>AE8*0.014+0.063</f>
        <v>0.16688</v>
      </c>
      <c r="AT8" s="74">
        <f t="shared" si="8"/>
        <v>3.2208967836823699E-2</v>
      </c>
      <c r="AU8" s="75">
        <f>AE8*0.03+0.104</f>
        <v>0.3266</v>
      </c>
      <c r="AV8" s="74">
        <f t="shared" si="9"/>
        <v>6.3036007283716555E-2</v>
      </c>
      <c r="AW8" s="75">
        <f>AE8*0.031+0.036</f>
        <v>0.26601999999999998</v>
      </c>
      <c r="AX8" s="74">
        <f t="shared" si="10"/>
        <v>5.1343657861648129E-2</v>
      </c>
      <c r="AY8" s="75">
        <f>AE8*0.0079</f>
        <v>5.8618000000000003E-2</v>
      </c>
      <c r="AZ8" s="74">
        <f t="shared" si="11"/>
        <v>1.1313670162146043E-2</v>
      </c>
      <c r="BA8" s="75">
        <f>AE8*0.034+0.104</f>
        <v>0.35627999999999999</v>
      </c>
      <c r="BB8" s="74">
        <f t="shared" si="12"/>
        <v>6.8764447872144932E-2</v>
      </c>
      <c r="BC8" s="75">
        <f>AE8*0.035-0.009</f>
        <v>0.25070000000000003</v>
      </c>
      <c r="BD8" s="74">
        <f t="shared" si="13"/>
        <v>4.8386794323416242E-2</v>
      </c>
      <c r="BE8" s="75">
        <f>AE8*0.144-0.191</f>
        <v>0.87747999999999982</v>
      </c>
      <c r="BF8" s="74">
        <f t="shared" si="14"/>
        <v>0.16935957033470789</v>
      </c>
      <c r="BG8" s="75">
        <f>AE8*0.042+0.036</f>
        <v>0.34764</v>
      </c>
      <c r="BH8" s="74">
        <f t="shared" si="15"/>
        <v>6.7096869479826168E-2</v>
      </c>
      <c r="BI8" s="75">
        <f>AE8*0.024+0.036</f>
        <v>0.21407999999999999</v>
      </c>
      <c r="BJ8" s="74">
        <f t="shared" si="16"/>
        <v>4.1318886831898473E-2</v>
      </c>
      <c r="BK8" s="75">
        <f>AE8*0.053-0.039</f>
        <v>0.35426000000000002</v>
      </c>
      <c r="BL8" s="74">
        <f t="shared" si="17"/>
        <v>6.8374574220237086E-2</v>
      </c>
      <c r="BM8" s="75">
        <f>AE8*0.0366</f>
        <v>0.27157199999999998</v>
      </c>
      <c r="BN8" s="75">
        <f t="shared" si="18"/>
        <v>0.62583199999999994</v>
      </c>
      <c r="BO8" s="74">
        <f t="shared" si="19"/>
        <v>0.1207898056043567</v>
      </c>
      <c r="BP8" s="75">
        <f>AE8*0.025+0.109</f>
        <v>0.29449999999999998</v>
      </c>
      <c r="BQ8" s="178">
        <f>AE8*0.048+0.001</f>
        <v>0.35715999999999998</v>
      </c>
      <c r="BR8" s="178">
        <f t="shared" si="20"/>
        <v>0.65165999999999991</v>
      </c>
      <c r="BS8" s="75">
        <v>0.02</v>
      </c>
      <c r="BT8" s="74">
        <f t="shared" si="21"/>
        <v>3.8601351674045661E-3</v>
      </c>
      <c r="BU8" s="75">
        <v>0.22040000000000001</v>
      </c>
      <c r="BV8" s="74">
        <f t="shared" si="22"/>
        <v>4.2538689544798322E-2</v>
      </c>
      <c r="BW8" s="75">
        <f>BU8*0.3077</f>
        <v>6.7817080000000002E-2</v>
      </c>
      <c r="BX8" s="74">
        <f t="shared" si="23"/>
        <v>1.3089154772934443E-2</v>
      </c>
      <c r="BY8" s="75">
        <v>0.09</v>
      </c>
      <c r="BZ8" s="74">
        <f t="shared" si="24"/>
        <v>1.7370608253320548E-2</v>
      </c>
      <c r="CA8" s="75">
        <v>0.01</v>
      </c>
      <c r="CB8" s="74">
        <f t="shared" si="25"/>
        <v>1.9300675837022831E-3</v>
      </c>
      <c r="CC8" s="75">
        <v>0.32</v>
      </c>
      <c r="CD8" s="74">
        <f t="shared" si="26"/>
        <v>6.1762162678473058E-2</v>
      </c>
      <c r="CE8" s="75">
        <v>0.05</v>
      </c>
      <c r="CF8" s="74">
        <f t="shared" si="27"/>
        <v>9.6503379185114146E-3</v>
      </c>
      <c r="CG8" s="75">
        <v>0.11</v>
      </c>
      <c r="CH8" s="74">
        <f t="shared" si="28"/>
        <v>2.1230743420725114E-2</v>
      </c>
      <c r="CI8" s="77">
        <f t="shared" si="29"/>
        <v>72.169999999999987</v>
      </c>
      <c r="CJ8" s="72">
        <f t="shared" si="30"/>
        <v>13.929297751579375</v>
      </c>
      <c r="CK8" s="75">
        <v>0.53300000000000003</v>
      </c>
      <c r="CL8" s="74">
        <f t="shared" si="44"/>
        <v>0.1028726022113317</v>
      </c>
      <c r="CM8" s="75">
        <f>AG8*0.4803</f>
        <v>1.805928</v>
      </c>
      <c r="CN8" s="74">
        <f t="shared" si="31"/>
        <v>0.34855630913002966</v>
      </c>
      <c r="CO8" s="75">
        <v>10.242000000000001</v>
      </c>
      <c r="CP8" s="74">
        <f t="shared" si="32"/>
        <v>1.9767752192278785</v>
      </c>
      <c r="CQ8" s="75">
        <v>3.1019999999999999</v>
      </c>
      <c r="CR8" s="74">
        <f t="shared" si="33"/>
        <v>0.59870696446444815</v>
      </c>
      <c r="CS8" s="75">
        <v>1.3140000000000001</v>
      </c>
      <c r="CT8" s="74">
        <f t="shared" si="34"/>
        <v>0.25361088049848002</v>
      </c>
      <c r="CU8" s="75">
        <f t="shared" si="35"/>
        <v>73.190000000000012</v>
      </c>
      <c r="CV8" s="74">
        <f t="shared" si="36"/>
        <v>14.126164645117012</v>
      </c>
      <c r="CW8" s="54">
        <v>0.61</v>
      </c>
      <c r="CX8" s="74">
        <f t="shared" si="37"/>
        <v>0.11773412260583925</v>
      </c>
      <c r="CY8" s="54">
        <v>5</v>
      </c>
      <c r="CZ8" s="79">
        <f t="shared" si="38"/>
        <v>0.96503379185114158</v>
      </c>
      <c r="DA8" s="78">
        <v>87.808000000000007</v>
      </c>
      <c r="DB8" s="74">
        <f t="shared" si="39"/>
        <v>16.947537438973008</v>
      </c>
      <c r="DC8" s="179"/>
      <c r="DD8" s="54"/>
      <c r="DE8" s="54">
        <v>15.15</v>
      </c>
      <c r="DF8" s="54">
        <v>35.75</v>
      </c>
      <c r="DG8" s="54"/>
      <c r="DH8" s="54">
        <v>15.59</v>
      </c>
      <c r="DI8" s="54"/>
      <c r="DJ8" s="162"/>
      <c r="DK8" s="34"/>
      <c r="DL8" s="34"/>
      <c r="DM8" s="34"/>
      <c r="DN8" s="34"/>
      <c r="DO8" s="34"/>
    </row>
    <row r="9" spans="1:119" s="32" customFormat="1" ht="15" x14ac:dyDescent="0.35">
      <c r="A9" s="34"/>
      <c r="B9" s="59">
        <v>17000</v>
      </c>
      <c r="C9" s="58">
        <f t="shared" si="46"/>
        <v>0</v>
      </c>
      <c r="D9" s="114" t="s">
        <v>12</v>
      </c>
      <c r="E9" s="119">
        <f t="shared" si="40"/>
        <v>0</v>
      </c>
      <c r="F9" s="119">
        <v>0</v>
      </c>
      <c r="G9" s="35"/>
      <c r="H9" s="28"/>
      <c r="I9" s="39"/>
      <c r="J9" s="97">
        <f t="shared" ref="J9:J37" si="47">IF((H9)="",0,(H9))</f>
        <v>0</v>
      </c>
      <c r="K9" s="98">
        <f t="shared" ref="K9:K37" si="48">IF((I9)="",100,(I9))</f>
        <v>100</v>
      </c>
      <c r="L9" s="34"/>
      <c r="M9" s="60" t="s">
        <v>121</v>
      </c>
      <c r="N9" s="61" t="s">
        <v>55</v>
      </c>
      <c r="O9" s="71">
        <v>30</v>
      </c>
      <c r="P9" s="70"/>
      <c r="Q9" s="106">
        <f t="shared" si="43"/>
        <v>30</v>
      </c>
      <c r="R9" s="97">
        <f>IF((P9)="",1000,(P9))</f>
        <v>1000</v>
      </c>
      <c r="S9" s="35"/>
      <c r="T9" s="63">
        <f>SUM(AL5:AL37)</f>
        <v>30.000000000000011</v>
      </c>
      <c r="U9" s="34"/>
      <c r="V9" s="8"/>
      <c r="W9" s="193">
        <v>20</v>
      </c>
      <c r="X9" s="201"/>
      <c r="Y9" s="193">
        <v>30</v>
      </c>
      <c r="Z9" s="10"/>
      <c r="AA9" s="34"/>
      <c r="AB9" s="143" t="s">
        <v>12</v>
      </c>
      <c r="AC9" s="43">
        <v>3112</v>
      </c>
      <c r="AD9" s="42">
        <f t="shared" si="0"/>
        <v>0</v>
      </c>
      <c r="AE9" s="45">
        <v>11.798</v>
      </c>
      <c r="AF9" s="44">
        <f t="shared" si="1"/>
        <v>0</v>
      </c>
      <c r="AG9" s="47">
        <v>1.9219999999999999</v>
      </c>
      <c r="AH9" s="46">
        <f t="shared" si="2"/>
        <v>0</v>
      </c>
      <c r="AI9" s="47">
        <v>1.9219999999999999</v>
      </c>
      <c r="AJ9" s="46">
        <f t="shared" si="3"/>
        <v>0</v>
      </c>
      <c r="AK9" s="47">
        <v>60.253</v>
      </c>
      <c r="AL9" s="46">
        <f t="shared" si="4"/>
        <v>0</v>
      </c>
      <c r="AM9" s="47">
        <v>2.6819999999999999</v>
      </c>
      <c r="AN9" s="46">
        <f t="shared" si="5"/>
        <v>0</v>
      </c>
      <c r="AO9" s="47">
        <v>1.786</v>
      </c>
      <c r="AP9" s="46">
        <f t="shared" si="6"/>
        <v>0</v>
      </c>
      <c r="AQ9" s="47">
        <f>AE9*0.018+0.116</f>
        <v>0.32836399999999999</v>
      </c>
      <c r="AR9" s="46">
        <f t="shared" si="7"/>
        <v>0</v>
      </c>
      <c r="AS9" s="47">
        <f>AE9*0.014+0.024</f>
        <v>0.18917200000000001</v>
      </c>
      <c r="AT9" s="46">
        <f t="shared" si="8"/>
        <v>0</v>
      </c>
      <c r="AU9" s="47">
        <f>AE9*0.032+0.069</f>
        <v>0.44653599999999999</v>
      </c>
      <c r="AV9" s="46">
        <f t="shared" si="9"/>
        <v>0</v>
      </c>
      <c r="AW9" s="47">
        <f>AE9*0.023+0.059</f>
        <v>0.33035399999999998</v>
      </c>
      <c r="AX9" s="46">
        <f t="shared" si="10"/>
        <v>0</v>
      </c>
      <c r="AY9" s="47">
        <f>AE9*0.009+0.044</f>
        <v>0.15018199999999998</v>
      </c>
      <c r="AZ9" s="46">
        <f t="shared" si="11"/>
        <v>0</v>
      </c>
      <c r="BA9" s="47">
        <f>AE9*0.041+0.081</f>
        <v>0.56471800000000005</v>
      </c>
      <c r="BB9" s="46">
        <f t="shared" si="12"/>
        <v>0</v>
      </c>
      <c r="BC9" s="47">
        <f>AE9*0.034-0.004</f>
        <v>0.39713200000000004</v>
      </c>
      <c r="BD9" s="46">
        <f t="shared" si="13"/>
        <v>0</v>
      </c>
      <c r="BE9" s="47">
        <f>AE9*0.062+0.043</f>
        <v>0.77447600000000005</v>
      </c>
      <c r="BF9" s="46">
        <f t="shared" si="14"/>
        <v>0</v>
      </c>
      <c r="BG9" s="47">
        <f>AE9*0.038+0.054</f>
        <v>0.50232399999999999</v>
      </c>
      <c r="BH9" s="46">
        <f t="shared" si="15"/>
        <v>0</v>
      </c>
      <c r="BI9" s="47">
        <f>AE9*0.021+0.015</f>
        <v>0.26275799999999999</v>
      </c>
      <c r="BJ9" s="46">
        <f t="shared" si="16"/>
        <v>0</v>
      </c>
      <c r="BK9" s="47">
        <f>AE9*0.048-0.034</f>
        <v>0.532304</v>
      </c>
      <c r="BL9" s="46">
        <f t="shared" si="17"/>
        <v>0</v>
      </c>
      <c r="BM9" s="47">
        <f>AE9*0.03</f>
        <v>0.35393999999999998</v>
      </c>
      <c r="BN9" s="47">
        <f t="shared" si="18"/>
        <v>0.88624400000000003</v>
      </c>
      <c r="BO9" s="46">
        <f t="shared" si="19"/>
        <v>0</v>
      </c>
      <c r="BP9" s="47">
        <f>AE9*0.035+0.07</f>
        <v>0.48293000000000003</v>
      </c>
      <c r="BQ9" s="48">
        <f>AE9*0.042+0.036</f>
        <v>0.53151599999999999</v>
      </c>
      <c r="BR9" s="48">
        <f t="shared" si="20"/>
        <v>1.014446</v>
      </c>
      <c r="BS9" s="47">
        <v>7.0000000000000007E-2</v>
      </c>
      <c r="BT9" s="46">
        <f t="shared" si="21"/>
        <v>0</v>
      </c>
      <c r="BU9" s="47">
        <v>0.27939999999999998</v>
      </c>
      <c r="BV9" s="46">
        <f t="shared" si="22"/>
        <v>0</v>
      </c>
      <c r="BW9" s="47">
        <f>BU9*0.366</f>
        <v>0.10226039999999999</v>
      </c>
      <c r="BX9" s="46">
        <f t="shared" si="23"/>
        <v>0</v>
      </c>
      <c r="BY9" s="47">
        <v>0.1</v>
      </c>
      <c r="BZ9" s="46">
        <f t="shared" si="24"/>
        <v>0</v>
      </c>
      <c r="CA9" s="47">
        <v>0.01</v>
      </c>
      <c r="CB9" s="46">
        <f t="shared" si="25"/>
        <v>0</v>
      </c>
      <c r="CC9" s="47">
        <v>0.4</v>
      </c>
      <c r="CD9" s="46">
        <f t="shared" si="26"/>
        <v>0</v>
      </c>
      <c r="CE9" s="47">
        <v>0.09</v>
      </c>
      <c r="CF9" s="46">
        <f t="shared" si="27"/>
        <v>0</v>
      </c>
      <c r="CG9" s="47">
        <v>0.15</v>
      </c>
      <c r="CH9" s="46">
        <f t="shared" si="28"/>
        <v>0</v>
      </c>
      <c r="CI9" s="43">
        <f t="shared" si="29"/>
        <v>81.37</v>
      </c>
      <c r="CJ9" s="42">
        <f t="shared" si="30"/>
        <v>0</v>
      </c>
      <c r="CK9" s="47">
        <v>0.91900000000000004</v>
      </c>
      <c r="CL9" s="46">
        <f t="shared" si="44"/>
        <v>0</v>
      </c>
      <c r="CM9" s="47">
        <f>AG9*0.432</f>
        <v>0.83030399999999993</v>
      </c>
      <c r="CN9" s="46">
        <f t="shared" si="31"/>
        <v>0</v>
      </c>
      <c r="CO9" s="47">
        <v>12.503</v>
      </c>
      <c r="CP9" s="46">
        <f t="shared" si="32"/>
        <v>0</v>
      </c>
      <c r="CQ9" s="47">
        <v>3.375</v>
      </c>
      <c r="CR9" s="46">
        <f t="shared" si="33"/>
        <v>0</v>
      </c>
      <c r="CS9" s="47">
        <v>2.3519999999999999</v>
      </c>
      <c r="CT9" s="46">
        <f t="shared" si="34"/>
        <v>0</v>
      </c>
      <c r="CU9" s="47">
        <f t="shared" si="35"/>
        <v>70.864999999999995</v>
      </c>
      <c r="CV9" s="46">
        <f t="shared" si="36"/>
        <v>0</v>
      </c>
      <c r="CW9" s="28">
        <v>0.54</v>
      </c>
      <c r="CX9" s="46">
        <f t="shared" si="37"/>
        <v>0</v>
      </c>
      <c r="CY9" s="28">
        <v>8</v>
      </c>
      <c r="CZ9" s="35">
        <f t="shared" si="38"/>
        <v>0</v>
      </c>
      <c r="DA9" s="45">
        <v>89.052999999999997</v>
      </c>
      <c r="DB9" s="46">
        <f t="shared" si="39"/>
        <v>0</v>
      </c>
      <c r="DC9" s="145"/>
      <c r="DD9" s="28"/>
      <c r="DE9" s="28">
        <v>14.61</v>
      </c>
      <c r="DF9" s="28">
        <v>26.4</v>
      </c>
      <c r="DG9" s="28"/>
      <c r="DH9" s="28">
        <v>15.24</v>
      </c>
      <c r="DI9" s="28"/>
      <c r="DJ9" s="39"/>
      <c r="DK9" s="34"/>
      <c r="DL9" s="34"/>
      <c r="DM9" s="34"/>
      <c r="DN9" s="34"/>
      <c r="DO9" s="34"/>
    </row>
    <row r="10" spans="1:119" s="32" customFormat="1" ht="15" x14ac:dyDescent="0.35">
      <c r="A10" s="34"/>
      <c r="B10" s="159">
        <v>13000</v>
      </c>
      <c r="C10" s="38">
        <f t="shared" si="46"/>
        <v>520</v>
      </c>
      <c r="D10" s="160" t="s">
        <v>96</v>
      </c>
      <c r="E10" s="161">
        <f t="shared" si="40"/>
        <v>40.000000000000234</v>
      </c>
      <c r="F10" s="161">
        <v>4</v>
      </c>
      <c r="G10" s="79"/>
      <c r="H10" s="54"/>
      <c r="I10" s="162">
        <v>4</v>
      </c>
      <c r="J10" s="163">
        <f t="shared" si="47"/>
        <v>0</v>
      </c>
      <c r="K10" s="164">
        <f t="shared" si="48"/>
        <v>4</v>
      </c>
      <c r="L10" s="34"/>
      <c r="M10" s="88" t="s">
        <v>83</v>
      </c>
      <c r="N10" s="89" t="s">
        <v>55</v>
      </c>
      <c r="O10" s="12">
        <v>1.5</v>
      </c>
      <c r="P10" s="9"/>
      <c r="Q10" s="118">
        <f t="shared" si="43"/>
        <v>1.5</v>
      </c>
      <c r="R10" s="163">
        <f>IF((P10)="",1000,(P10))</f>
        <v>1000</v>
      </c>
      <c r="S10" s="79"/>
      <c r="T10" s="86">
        <f>SUM(AN5:AN37)</f>
        <v>1.4999999999999885</v>
      </c>
      <c r="U10" s="34"/>
      <c r="V10" s="8"/>
      <c r="W10" s="12">
        <v>1.5</v>
      </c>
      <c r="X10" s="15"/>
      <c r="Y10" s="12">
        <v>2.5</v>
      </c>
      <c r="Z10" s="10"/>
      <c r="AA10" s="34"/>
      <c r="AB10" s="177" t="s">
        <v>96</v>
      </c>
      <c r="AC10" s="77">
        <v>2748</v>
      </c>
      <c r="AD10" s="72">
        <f t="shared" si="0"/>
        <v>109.92</v>
      </c>
      <c r="AE10" s="78">
        <v>10.048999999999999</v>
      </c>
      <c r="AF10" s="73">
        <f t="shared" si="1"/>
        <v>0.40195999999999998</v>
      </c>
      <c r="AG10" s="75">
        <v>2.4910000000000001</v>
      </c>
      <c r="AH10" s="74">
        <f t="shared" si="2"/>
        <v>9.9640000000000006E-2</v>
      </c>
      <c r="AI10" s="75">
        <v>2.4910000000000001</v>
      </c>
      <c r="AJ10" s="74">
        <f t="shared" si="3"/>
        <v>9.9640000000000006E-2</v>
      </c>
      <c r="AK10" s="75">
        <v>51.63</v>
      </c>
      <c r="AL10" s="74">
        <f t="shared" si="4"/>
        <v>2.0651999999999999</v>
      </c>
      <c r="AM10" s="75">
        <v>4.4429999999999996</v>
      </c>
      <c r="AN10" s="74">
        <f t="shared" si="5"/>
        <v>0.17771999999999999</v>
      </c>
      <c r="AO10" s="75">
        <v>2.5680000000000001</v>
      </c>
      <c r="AP10" s="74">
        <f t="shared" si="6"/>
        <v>0.10272000000000001</v>
      </c>
      <c r="AQ10" s="75">
        <f>AE10*0.024+0.125</f>
        <v>0.366176</v>
      </c>
      <c r="AR10" s="74">
        <f t="shared" si="7"/>
        <v>1.464704E-2</v>
      </c>
      <c r="AS10" s="75">
        <f>AE10*0.013+0.031</f>
        <v>0.16163699999999998</v>
      </c>
      <c r="AT10" s="74">
        <f t="shared" si="8"/>
        <v>6.4654799999999991E-3</v>
      </c>
      <c r="AU10" s="75">
        <f>AE10*0.028+0.108</f>
        <v>0.389372</v>
      </c>
      <c r="AV10" s="74">
        <f t="shared" si="9"/>
        <v>1.5574879999999999E-2</v>
      </c>
      <c r="AW10" s="75">
        <f>AE10*0.027+0.06</f>
        <v>0.33132299999999998</v>
      </c>
      <c r="AX10" s="74">
        <f t="shared" si="10"/>
        <v>1.325292E-2</v>
      </c>
      <c r="AY10" s="75">
        <f>AE10*0.01+0.024</f>
        <v>0.12448999999999999</v>
      </c>
      <c r="AZ10" s="74">
        <f t="shared" si="11"/>
        <v>4.9795999999999998E-3</v>
      </c>
      <c r="BA10" s="75">
        <f>AE10*0.041+0.096</f>
        <v>0.50800900000000004</v>
      </c>
      <c r="BB10" s="74">
        <f t="shared" si="12"/>
        <v>2.0320360000000003E-2</v>
      </c>
      <c r="BC10" s="75">
        <f>AE10*0.034-0.005</f>
        <v>0.33666600000000002</v>
      </c>
      <c r="BD10" s="74">
        <f t="shared" si="13"/>
        <v>1.346664E-2</v>
      </c>
      <c r="BE10" s="75">
        <f>AE10*0.064+0.043</f>
        <v>0.68613599999999997</v>
      </c>
      <c r="BF10" s="74">
        <f t="shared" si="14"/>
        <v>2.7445439999999998E-2</v>
      </c>
      <c r="BG10" s="75">
        <f>AE10*0.043+0.06</f>
        <v>0.49210699999999996</v>
      </c>
      <c r="BH10" s="74">
        <f t="shared" si="15"/>
        <v>1.9684279999999998E-2</v>
      </c>
      <c r="BI10" s="75">
        <f>AE10*0.02+0.019</f>
        <v>0.21997999999999998</v>
      </c>
      <c r="BJ10" s="74">
        <f t="shared" si="16"/>
        <v>8.7992000000000001E-3</v>
      </c>
      <c r="BK10" s="75">
        <f>AE10*0.061-0.12</f>
        <v>0.49298900000000001</v>
      </c>
      <c r="BL10" s="74">
        <f t="shared" si="17"/>
        <v>1.9719560000000001E-2</v>
      </c>
      <c r="BM10" s="75">
        <f>AE10*0.0324</f>
        <v>0.32558759999999998</v>
      </c>
      <c r="BN10" s="75">
        <f t="shared" si="18"/>
        <v>0.81857659999999999</v>
      </c>
      <c r="BO10" s="74">
        <f t="shared" si="19"/>
        <v>3.2743064000000002E-2</v>
      </c>
      <c r="BP10" s="75">
        <f>AE10*0.028+0.126</f>
        <v>0.40737200000000001</v>
      </c>
      <c r="BQ10" s="178">
        <f>AE10*0.038+0.036</f>
        <v>0.41786199999999996</v>
      </c>
      <c r="BR10" s="178">
        <f t="shared" si="20"/>
        <v>0.82523400000000002</v>
      </c>
      <c r="BS10" s="75">
        <v>7.0000000000000007E-2</v>
      </c>
      <c r="BT10" s="74">
        <f t="shared" si="21"/>
        <v>2.8000000000000004E-3</v>
      </c>
      <c r="BU10" s="75">
        <v>0.32379999999999998</v>
      </c>
      <c r="BV10" s="74">
        <f t="shared" si="22"/>
        <v>1.2951999999999998E-2</v>
      </c>
      <c r="BW10" s="75">
        <f>BU10*0.3</f>
        <v>9.713999999999999E-2</v>
      </c>
      <c r="BX10" s="74">
        <f t="shared" si="23"/>
        <v>3.8855999999999995E-3</v>
      </c>
      <c r="BY10" s="75">
        <v>0.1</v>
      </c>
      <c r="BZ10" s="74">
        <f t="shared" si="24"/>
        <v>4.0000000000000001E-3</v>
      </c>
      <c r="CA10" s="75">
        <v>0.01</v>
      </c>
      <c r="CB10" s="74">
        <f t="shared" si="25"/>
        <v>4.0000000000000002E-4</v>
      </c>
      <c r="CC10" s="75">
        <v>0.48</v>
      </c>
      <c r="CD10" s="74">
        <f t="shared" si="26"/>
        <v>1.9199999999999998E-2</v>
      </c>
      <c r="CE10" s="75">
        <v>0.11</v>
      </c>
      <c r="CF10" s="74">
        <f t="shared" si="27"/>
        <v>4.4000000000000003E-3</v>
      </c>
      <c r="CG10" s="75">
        <v>0.13</v>
      </c>
      <c r="CH10" s="74">
        <f t="shared" si="28"/>
        <v>5.1999999999999998E-3</v>
      </c>
      <c r="CI10" s="77">
        <f t="shared" si="29"/>
        <v>96.21</v>
      </c>
      <c r="CJ10" s="72">
        <f t="shared" si="30"/>
        <v>3.8483999999999998</v>
      </c>
      <c r="CK10" s="75">
        <v>1.008</v>
      </c>
      <c r="CL10" s="74">
        <f t="shared" si="44"/>
        <v>4.0320000000000002E-2</v>
      </c>
      <c r="CM10" s="75">
        <f>AG10*0.4155</f>
        <v>1.0350105000000001</v>
      </c>
      <c r="CN10" s="74">
        <f t="shared" si="31"/>
        <v>4.140042E-2</v>
      </c>
      <c r="CO10" s="75">
        <v>19.614999999999998</v>
      </c>
      <c r="CP10" s="74">
        <f t="shared" si="32"/>
        <v>0.78459999999999996</v>
      </c>
      <c r="CQ10" s="75">
        <v>5.9160000000000004</v>
      </c>
      <c r="CR10" s="74">
        <f t="shared" si="33"/>
        <v>0.23664000000000002</v>
      </c>
      <c r="CS10" s="75">
        <v>2.0019999999999998</v>
      </c>
      <c r="CT10" s="74">
        <f t="shared" si="34"/>
        <v>8.0079999999999985E-2</v>
      </c>
      <c r="CU10" s="75">
        <f t="shared" si="35"/>
        <v>69.328000000000003</v>
      </c>
      <c r="CV10" s="74">
        <f t="shared" si="36"/>
        <v>2.77312</v>
      </c>
      <c r="CW10" s="54">
        <v>0.48</v>
      </c>
      <c r="CX10" s="74">
        <f t="shared" si="37"/>
        <v>1.9199999999999998E-2</v>
      </c>
      <c r="CY10" s="54">
        <v>5</v>
      </c>
      <c r="CZ10" s="79">
        <f t="shared" si="38"/>
        <v>0.2</v>
      </c>
      <c r="DA10" s="78">
        <v>88.879000000000005</v>
      </c>
      <c r="DB10" s="74">
        <f t="shared" si="39"/>
        <v>3.5551600000000003</v>
      </c>
      <c r="DC10" s="179">
        <v>9.2579999999999991</v>
      </c>
      <c r="DD10" s="54">
        <v>-9.2579999999999991</v>
      </c>
      <c r="DE10" s="54"/>
      <c r="DF10" s="54"/>
      <c r="DG10" s="54"/>
      <c r="DH10" s="54"/>
      <c r="DI10" s="54">
        <v>6.81</v>
      </c>
      <c r="DJ10" s="162"/>
      <c r="DK10" s="34"/>
      <c r="DL10" s="34"/>
      <c r="DM10" s="34"/>
      <c r="DN10" s="34"/>
      <c r="DO10" s="34"/>
    </row>
    <row r="11" spans="1:119" s="32" customFormat="1" ht="15" x14ac:dyDescent="0.35">
      <c r="A11" s="34"/>
      <c r="B11" s="59">
        <v>18000</v>
      </c>
      <c r="C11" s="58">
        <f t="shared" si="46"/>
        <v>2210.5240305935595</v>
      </c>
      <c r="D11" s="114" t="s">
        <v>13</v>
      </c>
      <c r="E11" s="119">
        <f t="shared" si="40"/>
        <v>122.8068905885318</v>
      </c>
      <c r="F11" s="119">
        <v>12.280689058853108</v>
      </c>
      <c r="G11" s="35"/>
      <c r="H11" s="28"/>
      <c r="I11" s="39"/>
      <c r="J11" s="97">
        <f t="shared" si="47"/>
        <v>0</v>
      </c>
      <c r="K11" s="98">
        <f t="shared" si="48"/>
        <v>100</v>
      </c>
      <c r="L11" s="34"/>
      <c r="M11" s="60" t="s">
        <v>43</v>
      </c>
      <c r="N11" s="61" t="s">
        <v>55</v>
      </c>
      <c r="O11" s="71">
        <v>0.8</v>
      </c>
      <c r="P11" s="71"/>
      <c r="Q11" s="106">
        <f t="shared" si="43"/>
        <v>0.8</v>
      </c>
      <c r="R11" s="97">
        <f t="shared" ref="R11:R30" si="49">IF((P11)="",1000,(P11))</f>
        <v>1000</v>
      </c>
      <c r="S11" s="35"/>
      <c r="T11" s="63">
        <f>SUM(AR5:AR37)</f>
        <v>1.2857784543056063</v>
      </c>
      <c r="U11" s="34"/>
      <c r="V11" s="8"/>
      <c r="W11" s="71">
        <v>0.7</v>
      </c>
      <c r="X11" s="15"/>
      <c r="Y11" s="71"/>
      <c r="Z11" s="10"/>
      <c r="AA11" s="34"/>
      <c r="AB11" s="143" t="s">
        <v>13</v>
      </c>
      <c r="AC11" s="43">
        <v>2228</v>
      </c>
      <c r="AD11" s="42">
        <f t="shared" si="0"/>
        <v>273.61375223124725</v>
      </c>
      <c r="AE11" s="45">
        <v>45</v>
      </c>
      <c r="AF11" s="44">
        <f t="shared" si="1"/>
        <v>5.5263100764838988</v>
      </c>
      <c r="AG11" s="47">
        <v>1.671</v>
      </c>
      <c r="AH11" s="46">
        <f t="shared" si="2"/>
        <v>0.20521031417343541</v>
      </c>
      <c r="AI11" s="47">
        <v>1.671</v>
      </c>
      <c r="AJ11" s="46">
        <f t="shared" si="3"/>
        <v>0.20521031417343541</v>
      </c>
      <c r="AK11" s="47">
        <v>0.56299999999999994</v>
      </c>
      <c r="AL11" s="46">
        <f t="shared" si="4"/>
        <v>6.9140279401342986E-2</v>
      </c>
      <c r="AM11" s="47">
        <v>4.5209999999999999</v>
      </c>
      <c r="AN11" s="46">
        <f t="shared" si="5"/>
        <v>0.55520995235074899</v>
      </c>
      <c r="AO11" s="47">
        <v>6.4749999999999996</v>
      </c>
      <c r="AP11" s="46">
        <f t="shared" si="6"/>
        <v>0.79517461656073873</v>
      </c>
      <c r="AQ11" s="47">
        <f>AE11*0.0605</f>
        <v>2.7225000000000001</v>
      </c>
      <c r="AR11" s="46">
        <f t="shared" si="7"/>
        <v>0.33434175962727591</v>
      </c>
      <c r="AS11" s="47">
        <f>AE11*0.0133</f>
        <v>0.59849999999999992</v>
      </c>
      <c r="AT11" s="46">
        <f t="shared" si="8"/>
        <v>7.3499924017235832E-2</v>
      </c>
      <c r="AU11" s="47">
        <f>AE11*0.0275</f>
        <v>1.2375</v>
      </c>
      <c r="AV11" s="46">
        <f t="shared" si="9"/>
        <v>0.15197352710330722</v>
      </c>
      <c r="AW11" s="47">
        <f>AE11*0.036+0.143</f>
        <v>1.7629999999999999</v>
      </c>
      <c r="AX11" s="46">
        <f t="shared" si="10"/>
        <v>0.2165085481075803</v>
      </c>
      <c r="AY11" s="47">
        <f>AE11*0.01+0.153</f>
        <v>0.60299999999999998</v>
      </c>
      <c r="AZ11" s="46">
        <f t="shared" si="11"/>
        <v>7.405255502488424E-2</v>
      </c>
      <c r="BA11" s="47">
        <f>AE11*0.061+0.525</f>
        <v>3.27</v>
      </c>
      <c r="BB11" s="46">
        <f t="shared" si="12"/>
        <v>0.40157853222449663</v>
      </c>
      <c r="BC11" s="47">
        <f>AE11*0.049-0.162</f>
        <v>2.0430000000000001</v>
      </c>
      <c r="BD11" s="46">
        <f t="shared" si="13"/>
        <v>0.25089447747236898</v>
      </c>
      <c r="BE11" s="47">
        <f>AE11*0.077-0.043</f>
        <v>3.4219999999999997</v>
      </c>
      <c r="BF11" s="46">
        <f t="shared" si="14"/>
        <v>0.42024517959395336</v>
      </c>
      <c r="BG11" s="47">
        <f>AE11*0.046+0.053</f>
        <v>2.1229999999999998</v>
      </c>
      <c r="BH11" s="46">
        <f t="shared" si="15"/>
        <v>0.26071902871945146</v>
      </c>
      <c r="BI11" s="47">
        <f>AE11*0.023+0.153</f>
        <v>1.1879999999999999</v>
      </c>
      <c r="BJ11" s="46">
        <f t="shared" si="16"/>
        <v>0.14589458601917493</v>
      </c>
      <c r="BK11" s="47">
        <f>AE11*0.055-0.176</f>
        <v>2.2989999999999999</v>
      </c>
      <c r="BL11" s="46">
        <f t="shared" si="17"/>
        <v>0.28233304146303295</v>
      </c>
      <c r="BM11" s="47">
        <f>AE11*0.058-0.954</f>
        <v>1.6560000000000004</v>
      </c>
      <c r="BN11" s="47">
        <f>BK11+BM11</f>
        <v>3.9550000000000001</v>
      </c>
      <c r="BO11" s="46">
        <f t="shared" si="19"/>
        <v>0.48570125227764044</v>
      </c>
      <c r="BP11" s="47">
        <f>AE11*0.038+0.202</f>
        <v>1.9119999999999999</v>
      </c>
      <c r="BQ11" s="48">
        <f>AE11*0.049+0.03</f>
        <v>2.2349999999999999</v>
      </c>
      <c r="BR11" s="48">
        <f>BP11+BQ11</f>
        <v>4.1470000000000002</v>
      </c>
      <c r="BS11" s="47">
        <v>0.32</v>
      </c>
      <c r="BT11" s="46">
        <f t="shared" si="21"/>
        <v>3.9298204988329949E-2</v>
      </c>
      <c r="BU11" s="47">
        <v>0.61399999999999999</v>
      </c>
      <c r="BV11" s="46">
        <f t="shared" si="22"/>
        <v>7.5403430821358072E-2</v>
      </c>
      <c r="BW11" s="47">
        <f>BU11*0.323</f>
        <v>0.198322</v>
      </c>
      <c r="BX11" s="46">
        <f t="shared" si="23"/>
        <v>2.4355308155298658E-2</v>
      </c>
      <c r="BY11" s="47">
        <v>0.28999999999999998</v>
      </c>
      <c r="BZ11" s="46">
        <f t="shared" si="24"/>
        <v>3.5613998270674012E-2</v>
      </c>
      <c r="CA11" s="47">
        <v>0.02</v>
      </c>
      <c r="CB11" s="46">
        <f t="shared" si="25"/>
        <v>2.4561378117706218E-3</v>
      </c>
      <c r="CC11" s="47">
        <v>2.0499999999999998</v>
      </c>
      <c r="CD11" s="46">
        <f t="shared" si="26"/>
        <v>0.2517541257064887</v>
      </c>
      <c r="CE11" s="47">
        <v>0.04</v>
      </c>
      <c r="CF11" s="46">
        <f t="shared" si="27"/>
        <v>4.9122756235412436E-3</v>
      </c>
      <c r="CG11" s="47">
        <v>0.4</v>
      </c>
      <c r="CH11" s="46">
        <f t="shared" si="28"/>
        <v>4.9122756235412429E-2</v>
      </c>
      <c r="CI11" s="43">
        <f t="shared" si="29"/>
        <v>522.22</v>
      </c>
      <c r="CJ11" s="42">
        <f t="shared" si="30"/>
        <v>64.132214403142697</v>
      </c>
      <c r="CK11" s="47">
        <v>2.7890000000000001</v>
      </c>
      <c r="CL11" s="46">
        <f t="shared" si="44"/>
        <v>0.34250841785141317</v>
      </c>
      <c r="CM11" s="47">
        <f>AG11*0.39825</f>
        <v>0.66547575000000003</v>
      </c>
      <c r="CN11" s="46">
        <f t="shared" si="31"/>
        <v>8.1725007619570661E-2</v>
      </c>
      <c r="CO11" s="47">
        <v>10.161</v>
      </c>
      <c r="CP11" s="46">
        <f t="shared" si="32"/>
        <v>1.2478408152700642</v>
      </c>
      <c r="CQ11" s="47">
        <v>6.1749999999999998</v>
      </c>
      <c r="CR11" s="46">
        <f t="shared" si="33"/>
        <v>0.75833254938417938</v>
      </c>
      <c r="CS11" s="47">
        <v>8.9390000000000001</v>
      </c>
      <c r="CT11" s="46">
        <f t="shared" si="34"/>
        <v>1.0977707949708793</v>
      </c>
      <c r="CU11" s="47">
        <f t="shared" si="35"/>
        <v>31.22</v>
      </c>
      <c r="CV11" s="46">
        <f t="shared" si="36"/>
        <v>3.83403112417394</v>
      </c>
      <c r="CW11" s="28">
        <v>0.5</v>
      </c>
      <c r="CX11" s="46">
        <f t="shared" si="37"/>
        <v>6.1403445294265543E-2</v>
      </c>
      <c r="CY11" s="28">
        <v>4</v>
      </c>
      <c r="CZ11" s="35">
        <f t="shared" si="38"/>
        <v>0.49122756235412435</v>
      </c>
      <c r="DA11" s="45">
        <v>88.887</v>
      </c>
      <c r="DB11" s="46">
        <f t="shared" si="39"/>
        <v>10.915936083742762</v>
      </c>
      <c r="DC11" s="145"/>
      <c r="DD11" s="28"/>
      <c r="DE11" s="28">
        <v>15.69</v>
      </c>
      <c r="DF11" s="28">
        <v>19.41</v>
      </c>
      <c r="DG11" s="28"/>
      <c r="DH11" s="28">
        <v>6.2359999999999998</v>
      </c>
      <c r="DI11" s="28"/>
      <c r="DJ11" s="39"/>
      <c r="DK11" s="34"/>
      <c r="DL11" s="34"/>
      <c r="DM11" s="34"/>
      <c r="DN11" s="34"/>
      <c r="DO11" s="34"/>
    </row>
    <row r="12" spans="1:119" s="32" customFormat="1" ht="15" x14ac:dyDescent="0.35">
      <c r="A12" s="34"/>
      <c r="B12" s="23">
        <v>52000</v>
      </c>
      <c r="C12" s="38">
        <f t="shared" si="46"/>
        <v>0</v>
      </c>
      <c r="D12" s="113" t="s">
        <v>14</v>
      </c>
      <c r="E12" s="161">
        <f t="shared" si="40"/>
        <v>0</v>
      </c>
      <c r="F12" s="120">
        <v>0</v>
      </c>
      <c r="G12" s="36"/>
      <c r="H12" s="158"/>
      <c r="I12" s="87"/>
      <c r="J12" s="99">
        <f t="shared" si="47"/>
        <v>0</v>
      </c>
      <c r="K12" s="100">
        <f t="shared" si="48"/>
        <v>100</v>
      </c>
      <c r="L12" s="34"/>
      <c r="M12" s="1" t="s">
        <v>160</v>
      </c>
      <c r="N12" s="27" t="s">
        <v>55</v>
      </c>
      <c r="O12" s="12">
        <f>O11*0.74</f>
        <v>0.59199999999999997</v>
      </c>
      <c r="P12" s="12"/>
      <c r="Q12" s="118">
        <f t="shared" si="43"/>
        <v>0.59199999999999997</v>
      </c>
      <c r="R12" s="163">
        <f t="shared" si="49"/>
        <v>1000</v>
      </c>
      <c r="S12" s="36"/>
      <c r="T12" s="2">
        <f>SUM(AT5:AT37)</f>
        <v>0.81121555707163973</v>
      </c>
      <c r="U12" s="200"/>
      <c r="V12" s="8"/>
      <c r="W12" s="12">
        <f>W11*0.74</f>
        <v>0.51800000000000002</v>
      </c>
      <c r="X12" s="15"/>
      <c r="Y12" s="12"/>
      <c r="Z12" s="10"/>
      <c r="AA12" s="200"/>
      <c r="AB12" s="144" t="s">
        <v>14</v>
      </c>
      <c r="AC12" s="49">
        <v>3717</v>
      </c>
      <c r="AD12" s="72">
        <f t="shared" si="0"/>
        <v>0</v>
      </c>
      <c r="AE12" s="50">
        <v>57.561999999999998</v>
      </c>
      <c r="AF12" s="73">
        <f t="shared" si="1"/>
        <v>0</v>
      </c>
      <c r="AG12" s="75">
        <v>5.3280000000000003</v>
      </c>
      <c r="AH12" s="74">
        <f t="shared" si="2"/>
        <v>0</v>
      </c>
      <c r="AI12" s="75">
        <v>5.3280000000000003</v>
      </c>
      <c r="AJ12" s="74">
        <f t="shared" si="3"/>
        <v>0</v>
      </c>
      <c r="AK12" s="75">
        <v>13.659000000000001</v>
      </c>
      <c r="AL12" s="74">
        <f t="shared" si="4"/>
        <v>0</v>
      </c>
      <c r="AM12" s="51">
        <v>0.78700000000000003</v>
      </c>
      <c r="AN12" s="74">
        <f t="shared" si="5"/>
        <v>0</v>
      </c>
      <c r="AO12" s="75">
        <v>2.0920000000000001</v>
      </c>
      <c r="AP12" s="74">
        <f t="shared" si="6"/>
        <v>0</v>
      </c>
      <c r="AQ12" s="51">
        <f>AE12*0.0167</f>
        <v>0.96128539999999996</v>
      </c>
      <c r="AR12" s="131">
        <f t="shared" si="7"/>
        <v>0</v>
      </c>
      <c r="AS12" s="51">
        <f>AE12*0.024-0.003</f>
        <v>1.3784880000000002</v>
      </c>
      <c r="AT12" s="131">
        <f t="shared" si="8"/>
        <v>0</v>
      </c>
      <c r="AU12" s="51">
        <f>AE12*0.038+0.218</f>
        <v>2.4053559999999998</v>
      </c>
      <c r="AV12" s="131">
        <f t="shared" si="9"/>
        <v>0</v>
      </c>
      <c r="AW12" s="51">
        <f>AE12*0.031+0.117</f>
        <v>1.9014219999999999</v>
      </c>
      <c r="AX12" s="131">
        <f t="shared" si="10"/>
        <v>0</v>
      </c>
      <c r="AY12" s="51">
        <f>AE12*0.005477</f>
        <v>0.31526707399999998</v>
      </c>
      <c r="AZ12" s="131">
        <f t="shared" si="11"/>
        <v>0</v>
      </c>
      <c r="BA12" s="51">
        <f>AE12*0.025+0.391</f>
        <v>1.83005</v>
      </c>
      <c r="BB12" s="131">
        <f t="shared" si="12"/>
        <v>0</v>
      </c>
      <c r="BC12" s="51">
        <f>AE12*0.042-0.161</f>
        <v>2.2566039999999998</v>
      </c>
      <c r="BD12" s="131">
        <f t="shared" si="13"/>
        <v>0</v>
      </c>
      <c r="BE12" s="51">
        <f>AE12*0.19-1.753</f>
        <v>9.1837799999999987</v>
      </c>
      <c r="BF12" s="131">
        <f t="shared" si="14"/>
        <v>0</v>
      </c>
      <c r="BG12" s="51">
        <f>AE12*0.041+0.246</f>
        <v>2.606042</v>
      </c>
      <c r="BH12" s="131">
        <f t="shared" si="15"/>
        <v>0</v>
      </c>
      <c r="BI12" s="51">
        <f>AE12*0.014+0.373</f>
        <v>1.178868</v>
      </c>
      <c r="BJ12" s="131">
        <f t="shared" si="16"/>
        <v>0</v>
      </c>
      <c r="BK12" s="51">
        <f>AE12*0.072-0.619</f>
        <v>3.5254639999999995</v>
      </c>
      <c r="BL12" s="131">
        <f t="shared" si="17"/>
        <v>0</v>
      </c>
      <c r="BM12" s="51">
        <f>AE12*0.0523</f>
        <v>3.0104925999999996</v>
      </c>
      <c r="BN12" s="51">
        <f t="shared" ref="BN12:BN13" si="50">BK12+BM12</f>
        <v>6.5359565999999987</v>
      </c>
      <c r="BO12" s="131">
        <f t="shared" si="19"/>
        <v>0</v>
      </c>
      <c r="BP12" s="51">
        <f>AE12*0.02+0.477</f>
        <v>1.6282399999999999</v>
      </c>
      <c r="BQ12" s="52">
        <f>AE12*0.054-0.217</f>
        <v>2.8913479999999998</v>
      </c>
      <c r="BR12" s="52">
        <f t="shared" ref="BR12:BR13" si="51">BP12+BQ12</f>
        <v>4.5195879999999997</v>
      </c>
      <c r="BS12" s="51">
        <v>0.03</v>
      </c>
      <c r="BT12" s="74">
        <f t="shared" si="21"/>
        <v>0</v>
      </c>
      <c r="BU12" s="51">
        <v>0.46710000000000002</v>
      </c>
      <c r="BV12" s="74">
        <f t="shared" si="22"/>
        <v>0</v>
      </c>
      <c r="BW12" s="51">
        <f>BU12*0.2</f>
        <v>9.3420000000000003E-2</v>
      </c>
      <c r="BX12" s="74">
        <f t="shared" si="23"/>
        <v>0</v>
      </c>
      <c r="BY12" s="75">
        <v>0.08</v>
      </c>
      <c r="BZ12" s="74">
        <f t="shared" si="24"/>
        <v>0</v>
      </c>
      <c r="CA12" s="75">
        <v>0.03</v>
      </c>
      <c r="CB12" s="74">
        <f t="shared" si="25"/>
        <v>0</v>
      </c>
      <c r="CC12" s="75">
        <v>0.14000000000000001</v>
      </c>
      <c r="CD12" s="74">
        <f t="shared" si="26"/>
        <v>0</v>
      </c>
      <c r="CE12" s="75">
        <v>7.0000000000000007E-2</v>
      </c>
      <c r="CF12" s="74">
        <f t="shared" si="27"/>
        <v>0</v>
      </c>
      <c r="CG12" s="75">
        <v>0.57999999999999996</v>
      </c>
      <c r="CH12" s="74">
        <f t="shared" si="28"/>
        <v>0</v>
      </c>
      <c r="CI12" s="77">
        <f t="shared" si="29"/>
        <v>29.15</v>
      </c>
      <c r="CJ12" s="72">
        <f t="shared" si="30"/>
        <v>0</v>
      </c>
      <c r="CK12" s="75">
        <v>0.35699999999999998</v>
      </c>
      <c r="CL12" s="74">
        <f t="shared" si="44"/>
        <v>0</v>
      </c>
      <c r="CM12" s="75">
        <f>AG12*0.452</f>
        <v>2.4082560000000002</v>
      </c>
      <c r="CN12" s="74">
        <f t="shared" si="31"/>
        <v>0</v>
      </c>
      <c r="CO12" s="75">
        <v>8.4930000000000003</v>
      </c>
      <c r="CP12" s="74">
        <f t="shared" si="32"/>
        <v>0</v>
      </c>
      <c r="CQ12" s="75">
        <v>6.2789999999999999</v>
      </c>
      <c r="CR12" s="74">
        <f t="shared" si="33"/>
        <v>0</v>
      </c>
      <c r="CS12" s="51">
        <v>0.46</v>
      </c>
      <c r="CT12" s="131">
        <f t="shared" si="34"/>
        <v>0</v>
      </c>
      <c r="CU12" s="51">
        <f t="shared" si="35"/>
        <v>26.964999999999989</v>
      </c>
      <c r="CV12" s="131">
        <f t="shared" si="36"/>
        <v>0</v>
      </c>
      <c r="CW12" s="158">
        <v>0.48</v>
      </c>
      <c r="CX12" s="74">
        <f t="shared" si="37"/>
        <v>0</v>
      </c>
      <c r="CY12" s="54">
        <v>4</v>
      </c>
      <c r="CZ12" s="79">
        <f t="shared" si="38"/>
        <v>0</v>
      </c>
      <c r="DA12" s="50">
        <v>92.733999999999995</v>
      </c>
      <c r="DB12" s="74">
        <f t="shared" si="39"/>
        <v>0</v>
      </c>
      <c r="DC12" s="146"/>
      <c r="DD12" s="158"/>
      <c r="DE12" s="158">
        <v>17.13</v>
      </c>
      <c r="DF12" s="158">
        <v>36.89</v>
      </c>
      <c r="DG12" s="158"/>
      <c r="DH12" s="158">
        <v>13.86</v>
      </c>
      <c r="DI12" s="158"/>
      <c r="DJ12" s="87"/>
      <c r="DK12" s="34"/>
      <c r="DL12" s="34"/>
      <c r="DM12" s="34"/>
      <c r="DN12" s="34"/>
      <c r="DO12" s="34"/>
    </row>
    <row r="13" spans="1:119" s="32" customFormat="1" ht="15" x14ac:dyDescent="0.35">
      <c r="A13" s="34"/>
      <c r="B13" s="59">
        <v>80000</v>
      </c>
      <c r="C13" s="58">
        <f t="shared" si="46"/>
        <v>0</v>
      </c>
      <c r="D13" s="114" t="s">
        <v>97</v>
      </c>
      <c r="E13" s="119">
        <f t="shared" si="40"/>
        <v>0</v>
      </c>
      <c r="F13" s="119">
        <v>0</v>
      </c>
      <c r="G13" s="35"/>
      <c r="H13" s="28"/>
      <c r="I13" s="39"/>
      <c r="J13" s="97">
        <f t="shared" si="47"/>
        <v>0</v>
      </c>
      <c r="K13" s="98">
        <f t="shared" si="48"/>
        <v>100</v>
      </c>
      <c r="L13" s="34"/>
      <c r="M13" s="60" t="s">
        <v>50</v>
      </c>
      <c r="N13" s="61" t="s">
        <v>55</v>
      </c>
      <c r="O13" s="71">
        <f>O11*1.48</f>
        <v>1.1839999999999999</v>
      </c>
      <c r="P13" s="71"/>
      <c r="Q13" s="106">
        <f t="shared" si="43"/>
        <v>1.1839999999999999</v>
      </c>
      <c r="R13" s="97">
        <f t="shared" si="49"/>
        <v>1000</v>
      </c>
      <c r="S13" s="35"/>
      <c r="T13" s="63">
        <f>SUM(AV5:AV37)</f>
        <v>1.1839999999999968</v>
      </c>
      <c r="U13" s="200"/>
      <c r="V13" s="8"/>
      <c r="W13" s="71">
        <f>W11*1.48</f>
        <v>1.036</v>
      </c>
      <c r="X13" s="15"/>
      <c r="Y13" s="71"/>
      <c r="Z13" s="10"/>
      <c r="AA13" s="200"/>
      <c r="AB13" s="143" t="s">
        <v>97</v>
      </c>
      <c r="AC13" s="43">
        <v>2943</v>
      </c>
      <c r="AD13" s="42">
        <f t="shared" si="0"/>
        <v>0</v>
      </c>
      <c r="AE13" s="45">
        <v>63.377000000000002</v>
      </c>
      <c r="AF13" s="44">
        <f t="shared" si="1"/>
        <v>0</v>
      </c>
      <c r="AG13" s="47">
        <v>2.95</v>
      </c>
      <c r="AH13" s="46">
        <f t="shared" si="2"/>
        <v>0</v>
      </c>
      <c r="AI13" s="47">
        <v>2.95</v>
      </c>
      <c r="AJ13" s="46">
        <f t="shared" si="3"/>
        <v>0</v>
      </c>
      <c r="AK13" s="47">
        <v>7.87</v>
      </c>
      <c r="AL13" s="46">
        <f t="shared" si="4"/>
        <v>0</v>
      </c>
      <c r="AM13" s="47">
        <v>0.47</v>
      </c>
      <c r="AN13" s="46">
        <f t="shared" si="5"/>
        <v>0</v>
      </c>
      <c r="AO13" s="47">
        <v>0.96</v>
      </c>
      <c r="AP13" s="46">
        <f t="shared" si="6"/>
        <v>0</v>
      </c>
      <c r="AQ13" s="47">
        <f>AE13*0.0159</f>
        <v>1.0076943</v>
      </c>
      <c r="AR13" s="46">
        <f t="shared" si="7"/>
        <v>0</v>
      </c>
      <c r="AS13" s="47">
        <f>AE13*0.012+0.229</f>
        <v>0.98952400000000007</v>
      </c>
      <c r="AT13" s="46">
        <f t="shared" si="8"/>
        <v>0</v>
      </c>
      <c r="AU13" s="47">
        <f>AE13*0.0361</f>
        <v>2.2879097000000002</v>
      </c>
      <c r="AV13" s="46">
        <f t="shared" si="9"/>
        <v>0</v>
      </c>
      <c r="AW13" s="47">
        <f>AE13*0.016+0.644</f>
        <v>1.658032</v>
      </c>
      <c r="AX13" s="46">
        <f t="shared" si="10"/>
        <v>0</v>
      </c>
      <c r="AY13" s="47">
        <f>AE13*0.007+0.216</f>
        <v>0.65963899999999998</v>
      </c>
      <c r="AZ13" s="46">
        <f t="shared" si="11"/>
        <v>0</v>
      </c>
      <c r="BA13" s="47">
        <f>AE13*0.0344</f>
        <v>2.1801688000000001</v>
      </c>
      <c r="BB13" s="46">
        <f t="shared" si="12"/>
        <v>0</v>
      </c>
      <c r="BC13" s="47">
        <f>AE13*0.031+ 0.344</f>
        <v>2.3086869999999999</v>
      </c>
      <c r="BD13" s="46">
        <f t="shared" si="13"/>
        <v>0</v>
      </c>
      <c r="BE13" s="47">
        <f>AE13*0.052+1.184</f>
        <v>4.4796040000000001</v>
      </c>
      <c r="BF13" s="46">
        <f t="shared" si="14"/>
        <v>0</v>
      </c>
      <c r="BG13" s="47">
        <f>AE13*0.03+0.625</f>
        <v>2.5263100000000001</v>
      </c>
      <c r="BH13" s="46">
        <f t="shared" si="15"/>
        <v>0</v>
      </c>
      <c r="BI13" s="47">
        <f>AE13*0.015+0.38</f>
        <v>1.3306550000000001</v>
      </c>
      <c r="BJ13" s="46">
        <f t="shared" si="16"/>
        <v>0</v>
      </c>
      <c r="BK13" s="47">
        <f>AE13*0.047+0.222</f>
        <v>3.2007190000000003</v>
      </c>
      <c r="BL13" s="46">
        <f t="shared" si="17"/>
        <v>0</v>
      </c>
      <c r="BM13" s="47">
        <f>AE13*0.0373</f>
        <v>2.3639621000000002</v>
      </c>
      <c r="BN13" s="47">
        <f t="shared" si="50"/>
        <v>5.5646811000000005</v>
      </c>
      <c r="BO13" s="46">
        <f t="shared" si="19"/>
        <v>0</v>
      </c>
      <c r="BP13" s="47">
        <f>AE13*0.028+0.35</f>
        <v>2.1245560000000001</v>
      </c>
      <c r="BQ13" s="48">
        <f>AE13*0.037+0.701</f>
        <v>3.0459490000000002</v>
      </c>
      <c r="BR13" s="48">
        <f t="shared" si="51"/>
        <v>5.1705050000000004</v>
      </c>
      <c r="BS13" s="47">
        <v>0.06</v>
      </c>
      <c r="BT13" s="46">
        <f t="shared" si="21"/>
        <v>0</v>
      </c>
      <c r="BU13" s="47">
        <v>0.17</v>
      </c>
      <c r="BV13" s="46">
        <f t="shared" si="22"/>
        <v>0</v>
      </c>
      <c r="BW13" s="47">
        <f>BU13*0.31</f>
        <v>5.2700000000000004E-2</v>
      </c>
      <c r="BX13" s="46">
        <f t="shared" si="23"/>
        <v>0</v>
      </c>
      <c r="BY13" s="47">
        <v>0.04</v>
      </c>
      <c r="BZ13" s="46">
        <f t="shared" si="24"/>
        <v>0</v>
      </c>
      <c r="CA13" s="47">
        <v>0.09</v>
      </c>
      <c r="CB13" s="46">
        <f t="shared" si="25"/>
        <v>0</v>
      </c>
      <c r="CC13" s="47">
        <v>0.09</v>
      </c>
      <c r="CD13" s="46">
        <f t="shared" si="26"/>
        <v>0</v>
      </c>
      <c r="CE13" s="47">
        <v>0.11</v>
      </c>
      <c r="CF13" s="46">
        <f t="shared" si="27"/>
        <v>0</v>
      </c>
      <c r="CG13" s="47">
        <v>0.65</v>
      </c>
      <c r="CH13" s="46">
        <f t="shared" si="28"/>
        <v>0</v>
      </c>
      <c r="CI13" s="43">
        <f t="shared" si="29"/>
        <v>31.169999999999998</v>
      </c>
      <c r="CJ13" s="42">
        <f t="shared" si="30"/>
        <v>0</v>
      </c>
      <c r="CK13" s="47">
        <v>0</v>
      </c>
      <c r="CL13" s="46">
        <f t="shared" si="44"/>
        <v>0</v>
      </c>
      <c r="CM13" s="47">
        <f>AG13*0.3701</f>
        <v>1.0917950000000001</v>
      </c>
      <c r="CN13" s="46">
        <f t="shared" si="31"/>
        <v>0</v>
      </c>
      <c r="CO13" s="47">
        <v>36.840000000000003</v>
      </c>
      <c r="CP13" s="46">
        <f t="shared" si="32"/>
        <v>0</v>
      </c>
      <c r="CQ13" s="47">
        <v>3.35</v>
      </c>
      <c r="CR13" s="46">
        <f t="shared" si="33"/>
        <v>0</v>
      </c>
      <c r="CS13" s="47">
        <v>1.35</v>
      </c>
      <c r="CT13" s="46">
        <f t="shared" si="34"/>
        <v>0</v>
      </c>
      <c r="CU13" s="47">
        <f t="shared" si="35"/>
        <v>25.301000000000016</v>
      </c>
      <c r="CV13" s="46">
        <f t="shared" si="36"/>
        <v>0</v>
      </c>
      <c r="CW13" s="28">
        <v>0.6</v>
      </c>
      <c r="CX13" s="46">
        <f t="shared" si="37"/>
        <v>0</v>
      </c>
      <c r="CY13" s="28">
        <v>35</v>
      </c>
      <c r="CZ13" s="35">
        <f t="shared" si="38"/>
        <v>0</v>
      </c>
      <c r="DA13" s="45">
        <v>93.058000000000007</v>
      </c>
      <c r="DB13" s="46">
        <f t="shared" si="39"/>
        <v>0</v>
      </c>
      <c r="DC13" s="145"/>
      <c r="DD13" s="28"/>
      <c r="DE13" s="28">
        <v>15.51</v>
      </c>
      <c r="DF13" s="28">
        <v>34.31</v>
      </c>
      <c r="DG13" s="28"/>
      <c r="DH13" s="28"/>
      <c r="DI13" s="28">
        <v>16.690000000000001</v>
      </c>
      <c r="DJ13" s="39">
        <v>13.01</v>
      </c>
      <c r="DK13" s="34"/>
      <c r="DL13" s="34"/>
      <c r="DM13" s="34"/>
      <c r="DN13" s="34"/>
      <c r="DO13" s="34"/>
    </row>
    <row r="14" spans="1:119" s="32" customFormat="1" ht="15" x14ac:dyDescent="0.35">
      <c r="A14" s="34"/>
      <c r="B14" s="23">
        <v>25000</v>
      </c>
      <c r="C14" s="38">
        <f t="shared" si="46"/>
        <v>0</v>
      </c>
      <c r="D14" s="113" t="s">
        <v>98</v>
      </c>
      <c r="E14" s="161">
        <f t="shared" si="40"/>
        <v>0</v>
      </c>
      <c r="F14" s="120">
        <v>0</v>
      </c>
      <c r="G14" s="36"/>
      <c r="H14" s="158"/>
      <c r="I14" s="87">
        <v>0</v>
      </c>
      <c r="J14" s="99">
        <f t="shared" si="47"/>
        <v>0</v>
      </c>
      <c r="K14" s="100">
        <f t="shared" si="48"/>
        <v>0</v>
      </c>
      <c r="L14" s="34"/>
      <c r="M14" s="88" t="s">
        <v>72</v>
      </c>
      <c r="N14" s="89" t="s">
        <v>55</v>
      </c>
      <c r="O14" s="12">
        <f>O11*1.24</f>
        <v>0.99199999999999999</v>
      </c>
      <c r="P14" s="12"/>
      <c r="Q14" s="118">
        <f t="shared" si="43"/>
        <v>0.99199999999999999</v>
      </c>
      <c r="R14" s="163">
        <f t="shared" si="49"/>
        <v>1000</v>
      </c>
      <c r="S14" s="79"/>
      <c r="T14" s="86">
        <f>SUM(AX5:AX37)</f>
        <v>0.99199999999999466</v>
      </c>
      <c r="U14" s="200"/>
      <c r="V14" s="8"/>
      <c r="W14" s="12">
        <f>W11*1.24</f>
        <v>0.86799999999999999</v>
      </c>
      <c r="X14" s="15"/>
      <c r="Y14" s="12"/>
      <c r="Z14" s="10"/>
      <c r="AA14" s="200"/>
      <c r="AB14" s="144" t="s">
        <v>98</v>
      </c>
      <c r="AC14" s="49">
        <v>3459</v>
      </c>
      <c r="AD14" s="72">
        <f t="shared" si="0"/>
        <v>0</v>
      </c>
      <c r="AE14" s="50">
        <v>34.634</v>
      </c>
      <c r="AF14" s="73">
        <f t="shared" si="1"/>
        <v>0</v>
      </c>
      <c r="AG14" s="75">
        <v>18.672000000000001</v>
      </c>
      <c r="AH14" s="74">
        <f t="shared" si="2"/>
        <v>0</v>
      </c>
      <c r="AI14" s="75">
        <v>18.672000000000001</v>
      </c>
      <c r="AJ14" s="74">
        <f t="shared" si="3"/>
        <v>0</v>
      </c>
      <c r="AK14" s="75">
        <v>0.57199999999999995</v>
      </c>
      <c r="AL14" s="74">
        <f t="shared" si="4"/>
        <v>0</v>
      </c>
      <c r="AM14" s="51">
        <v>5.2060000000000004</v>
      </c>
      <c r="AN14" s="74">
        <f t="shared" si="5"/>
        <v>0</v>
      </c>
      <c r="AO14" s="75">
        <v>5.0709999999999997</v>
      </c>
      <c r="AP14" s="74">
        <f t="shared" si="6"/>
        <v>0</v>
      </c>
      <c r="AQ14" s="51">
        <f>AE14*0.049+0.468</f>
        <v>2.1650660000000004</v>
      </c>
      <c r="AR14" s="131">
        <f t="shared" si="7"/>
        <v>0</v>
      </c>
      <c r="AS14" s="51">
        <f>AE14*0.0135</f>
        <v>0.467559</v>
      </c>
      <c r="AT14" s="131">
        <f t="shared" si="8"/>
        <v>0</v>
      </c>
      <c r="AU14" s="51">
        <f>AE14*0.029</f>
        <v>1.004386</v>
      </c>
      <c r="AV14" s="131">
        <f t="shared" si="9"/>
        <v>0</v>
      </c>
      <c r="AW14" s="51">
        <f>AE14*0.029+0.346</f>
        <v>1.3503859999999999</v>
      </c>
      <c r="AX14" s="131">
        <f t="shared" si="10"/>
        <v>0</v>
      </c>
      <c r="AY14" s="51">
        <f>AE14*0.009+0.162</f>
        <v>0.47370599999999996</v>
      </c>
      <c r="AZ14" s="131">
        <f t="shared" si="11"/>
        <v>0</v>
      </c>
      <c r="BA14" s="51">
        <f>AE14*0.084-0.374</f>
        <v>2.535256</v>
      </c>
      <c r="BB14" s="131">
        <f t="shared" si="12"/>
        <v>0</v>
      </c>
      <c r="BC14" s="51">
        <f>AE14*0.043+0.086</f>
        <v>1.5752619999999999</v>
      </c>
      <c r="BD14" s="131">
        <f t="shared" si="13"/>
        <v>0</v>
      </c>
      <c r="BE14" s="51">
        <f>AE14*0.072+0.138</f>
        <v>2.6316479999999998</v>
      </c>
      <c r="BF14" s="131">
        <f t="shared" si="14"/>
        <v>0</v>
      </c>
      <c r="BG14" s="51">
        <f>AE14*0.041+0.228</f>
        <v>1.647994</v>
      </c>
      <c r="BH14" s="131">
        <f t="shared" si="15"/>
        <v>0</v>
      </c>
      <c r="BI14" s="51">
        <f>AE14*0.022+0.138</f>
        <v>0.89994799999999997</v>
      </c>
      <c r="BJ14" s="131">
        <f t="shared" si="16"/>
        <v>0</v>
      </c>
      <c r="BK14" s="51">
        <f>AE14*0.053-0.103</f>
        <v>1.732602</v>
      </c>
      <c r="BL14" s="131">
        <f t="shared" si="17"/>
        <v>0</v>
      </c>
      <c r="BM14" s="51">
        <f>AE14*0.0385</f>
        <v>1.3334090000000001</v>
      </c>
      <c r="BN14" s="51">
        <f>BK14+BM14</f>
        <v>3.066011</v>
      </c>
      <c r="BO14" s="131">
        <f t="shared" si="19"/>
        <v>0</v>
      </c>
      <c r="BP14" s="51">
        <f>AE14*0.036+0.233</f>
        <v>1.479824</v>
      </c>
      <c r="BQ14" s="52">
        <f>AE14*0.048+0.087</f>
        <v>1.7494320000000001</v>
      </c>
      <c r="BR14" s="52">
        <f>BP14+BQ14</f>
        <v>3.2292560000000003</v>
      </c>
      <c r="BS14" s="51">
        <v>0.31</v>
      </c>
      <c r="BT14" s="74">
        <f t="shared" si="21"/>
        <v>0</v>
      </c>
      <c r="BU14" s="75">
        <v>0.4708</v>
      </c>
      <c r="BV14" s="74">
        <f t="shared" si="22"/>
        <v>0</v>
      </c>
      <c r="BW14" s="75">
        <f>BU14*0.323</f>
        <v>0.15206839999999999</v>
      </c>
      <c r="BX14" s="74">
        <f t="shared" si="23"/>
        <v>0</v>
      </c>
      <c r="BY14" s="75">
        <v>0.21</v>
      </c>
      <c r="BZ14" s="74">
        <f t="shared" si="24"/>
        <v>0</v>
      </c>
      <c r="CA14" s="75">
        <v>0.08</v>
      </c>
      <c r="CB14" s="74">
        <f t="shared" si="25"/>
        <v>0</v>
      </c>
      <c r="CC14" s="75">
        <v>1.85</v>
      </c>
      <c r="CD14" s="74">
        <f t="shared" si="26"/>
        <v>0</v>
      </c>
      <c r="CE14" s="75">
        <v>0.04</v>
      </c>
      <c r="CF14" s="74">
        <f t="shared" si="27"/>
        <v>0</v>
      </c>
      <c r="CG14" s="75">
        <v>0.28000000000000003</v>
      </c>
      <c r="CH14" s="74">
        <f t="shared" si="28"/>
        <v>0</v>
      </c>
      <c r="CI14" s="77">
        <f>(CA14*435)+(CC14*256)-(CE14*282)</f>
        <v>497.12000000000006</v>
      </c>
      <c r="CJ14" s="72">
        <f t="shared" si="30"/>
        <v>0</v>
      </c>
      <c r="CK14" s="75">
        <v>2.1190000000000002</v>
      </c>
      <c r="CL14" s="74">
        <f t="shared" si="44"/>
        <v>0</v>
      </c>
      <c r="CM14" s="75">
        <f>AG14*0.50445</f>
        <v>9.4190904</v>
      </c>
      <c r="CN14" s="74">
        <f t="shared" si="31"/>
        <v>0</v>
      </c>
      <c r="CO14" s="75">
        <v>11.09</v>
      </c>
      <c r="CP14" s="74">
        <f t="shared" si="32"/>
        <v>0</v>
      </c>
      <c r="CQ14" s="75">
        <v>7.0330000000000004</v>
      </c>
      <c r="CR14" s="74">
        <f t="shared" si="33"/>
        <v>0</v>
      </c>
      <c r="CS14" s="51">
        <v>7.4080000000000004</v>
      </c>
      <c r="CT14" s="131">
        <f t="shared" si="34"/>
        <v>0</v>
      </c>
      <c r="CU14" s="51">
        <f t="shared" si="35"/>
        <v>26.849000000000004</v>
      </c>
      <c r="CV14" s="131">
        <f t="shared" si="36"/>
        <v>0</v>
      </c>
      <c r="CW14" s="158">
        <v>0.48</v>
      </c>
      <c r="CX14" s="74">
        <f t="shared" si="37"/>
        <v>0</v>
      </c>
      <c r="CY14" s="54">
        <v>4</v>
      </c>
      <c r="CZ14" s="79">
        <f t="shared" si="38"/>
        <v>0</v>
      </c>
      <c r="DA14" s="50">
        <v>90.432000000000002</v>
      </c>
      <c r="DB14" s="74">
        <f t="shared" si="39"/>
        <v>0</v>
      </c>
      <c r="DC14" s="146"/>
      <c r="DD14" s="158"/>
      <c r="DE14" s="158">
        <v>16.23</v>
      </c>
      <c r="DF14" s="158">
        <v>36.5</v>
      </c>
      <c r="DG14" s="158"/>
      <c r="DH14" s="158">
        <v>7.6219999999999999</v>
      </c>
      <c r="DI14" s="158"/>
      <c r="DJ14" s="87"/>
      <c r="DK14" s="34"/>
      <c r="DL14" s="34"/>
      <c r="DM14" s="34"/>
      <c r="DN14" s="34"/>
      <c r="DO14" s="34"/>
    </row>
    <row r="15" spans="1:119" s="32" customFormat="1" ht="15" x14ac:dyDescent="0.35">
      <c r="A15" s="34"/>
      <c r="B15" s="59">
        <v>10000</v>
      </c>
      <c r="C15" s="58">
        <f t="shared" si="46"/>
        <v>208.47425459415473</v>
      </c>
      <c r="D15" s="114" t="s">
        <v>15</v>
      </c>
      <c r="E15" s="119">
        <f t="shared" si="40"/>
        <v>20.847425459415593</v>
      </c>
      <c r="F15" s="119">
        <v>2.0847425459415474</v>
      </c>
      <c r="G15" s="35"/>
      <c r="H15" s="28"/>
      <c r="I15" s="39"/>
      <c r="J15" s="97">
        <f t="shared" si="47"/>
        <v>0</v>
      </c>
      <c r="K15" s="98">
        <f t="shared" si="48"/>
        <v>100</v>
      </c>
      <c r="L15" s="34"/>
      <c r="M15" s="60" t="s">
        <v>73</v>
      </c>
      <c r="N15" s="61" t="s">
        <v>55</v>
      </c>
      <c r="O15" s="71">
        <f>O11*0.4</f>
        <v>0.32000000000000006</v>
      </c>
      <c r="P15" s="71"/>
      <c r="Q15" s="106">
        <f t="shared" si="43"/>
        <v>0.32000000000000006</v>
      </c>
      <c r="R15" s="97">
        <f t="shared" si="49"/>
        <v>1000</v>
      </c>
      <c r="S15" s="35"/>
      <c r="T15" s="63">
        <f>SUM(AZ5:AZ37)</f>
        <v>0.3199999999999969</v>
      </c>
      <c r="U15" s="200"/>
      <c r="V15" s="8"/>
      <c r="W15" s="71">
        <f>W11*0.4</f>
        <v>0.27999999999999997</v>
      </c>
      <c r="X15" s="15"/>
      <c r="Y15" s="71"/>
      <c r="Z15" s="10"/>
      <c r="AA15" s="200"/>
      <c r="AB15" s="143" t="s">
        <v>15</v>
      </c>
      <c r="AC15" s="43">
        <v>2012</v>
      </c>
      <c r="AD15" s="42">
        <f t="shared" si="0"/>
        <v>41.945020024343933</v>
      </c>
      <c r="AE15" s="45">
        <v>14.531000000000001</v>
      </c>
      <c r="AF15" s="44">
        <f t="shared" si="1"/>
        <v>0.30293393935076623</v>
      </c>
      <c r="AG15" s="47">
        <v>4.0199999999999996</v>
      </c>
      <c r="AH15" s="46">
        <f t="shared" si="2"/>
        <v>8.3806650346850184E-2</v>
      </c>
      <c r="AI15" s="47">
        <v>4.0199999999999996</v>
      </c>
      <c r="AJ15" s="46">
        <f t="shared" si="3"/>
        <v>8.3806650346850184E-2</v>
      </c>
      <c r="AK15" s="47">
        <v>19.806999999999999</v>
      </c>
      <c r="AL15" s="46">
        <f t="shared" si="4"/>
        <v>0.4129249560746423</v>
      </c>
      <c r="AM15" s="47">
        <v>8.2899999999999991</v>
      </c>
      <c r="AN15" s="46">
        <f t="shared" si="5"/>
        <v>0.17282515705855425</v>
      </c>
      <c r="AO15" s="47">
        <v>5.0640000000000001</v>
      </c>
      <c r="AP15" s="46">
        <f t="shared" si="6"/>
        <v>0.10557136252647996</v>
      </c>
      <c r="AQ15" s="47">
        <f>AE15*0.037+0.042</f>
        <v>0.57964700000000002</v>
      </c>
      <c r="AR15" s="46">
        <f t="shared" si="7"/>
        <v>1.2084147625273803E-2</v>
      </c>
      <c r="AS15" s="47">
        <f>AE15*0.014+0.005</f>
        <v>0.20843400000000001</v>
      </c>
      <c r="AT15" s="46">
        <f t="shared" si="8"/>
        <v>4.3453122782078054E-3</v>
      </c>
      <c r="AU15" s="47">
        <f>AE15*0.034+0.016</f>
        <v>0.51005400000000001</v>
      </c>
      <c r="AV15" s="46">
        <f t="shared" si="9"/>
        <v>1.06333127452767E-2</v>
      </c>
      <c r="AW15" s="47">
        <f>AE15*0.029+0.04</f>
        <v>0.461399</v>
      </c>
      <c r="AX15" s="46">
        <f t="shared" si="10"/>
        <v>9.6189812595488412E-3</v>
      </c>
      <c r="AY15" s="47">
        <f>AE15*0.014+0.019</f>
        <v>0.22243399999999999</v>
      </c>
      <c r="AZ15" s="46">
        <f t="shared" si="11"/>
        <v>4.6371762346396218E-3</v>
      </c>
      <c r="BA15" s="47">
        <f>AE15*0.075-0.012</f>
        <v>1.077825</v>
      </c>
      <c r="BB15" s="46">
        <f t="shared" si="12"/>
        <v>2.2469876345794483E-2</v>
      </c>
      <c r="BC15" s="47">
        <f>AE15*0.03+0.003</f>
        <v>0.43892999999999999</v>
      </c>
      <c r="BD15" s="46">
        <f t="shared" si="13"/>
        <v>9.1505604569012324E-3</v>
      </c>
      <c r="BE15" s="47">
        <f>AE15*0.058+0.018</f>
        <v>0.86079800000000006</v>
      </c>
      <c r="BF15" s="46">
        <f t="shared" si="14"/>
        <v>1.7945422140613922E-2</v>
      </c>
      <c r="BG15" s="47">
        <f>AE15*0.044+0.018</f>
        <v>0.65736400000000006</v>
      </c>
      <c r="BH15" s="46">
        <f t="shared" si="15"/>
        <v>1.3704346989703194E-2</v>
      </c>
      <c r="BI15" s="47">
        <f>AE15*0.028-0.027</f>
        <v>0.37986799999999998</v>
      </c>
      <c r="BJ15" s="46">
        <f t="shared" si="16"/>
        <v>7.9192698144172381E-3</v>
      </c>
      <c r="BK15" s="47">
        <f>AE15*0.04-0.019</f>
        <v>0.56224000000000007</v>
      </c>
      <c r="BL15" s="46">
        <f t="shared" si="17"/>
        <v>1.1721256490301757E-2</v>
      </c>
      <c r="BM15" s="47">
        <f>AE15*0.0282</f>
        <v>0.40977420000000003</v>
      </c>
      <c r="BN15" s="47">
        <f>BK15+BM15</f>
        <v>0.97201420000000005</v>
      </c>
      <c r="BO15" s="46">
        <f t="shared" si="19"/>
        <v>2.0263993579993367E-2</v>
      </c>
      <c r="BP15" s="47">
        <f>AE15*0.049+0.04</f>
        <v>0.7520190000000001</v>
      </c>
      <c r="BQ15" s="48">
        <f>AE15*0.041</f>
        <v>0.59577100000000005</v>
      </c>
      <c r="BR15" s="48">
        <f>BP15+BQ15</f>
        <v>1.3477900000000003</v>
      </c>
      <c r="BS15" s="47">
        <v>0.09</v>
      </c>
      <c r="BT15" s="46">
        <f t="shared" si="21"/>
        <v>1.8762682913473926E-3</v>
      </c>
      <c r="BU15" s="47">
        <v>0.90280000000000005</v>
      </c>
      <c r="BV15" s="46">
        <f t="shared" si="22"/>
        <v>1.8821055704760292E-2</v>
      </c>
      <c r="BW15" s="47">
        <f>BU15*0.326</f>
        <v>0.29431280000000004</v>
      </c>
      <c r="BX15" s="46">
        <f t="shared" si="23"/>
        <v>6.1356641597518557E-3</v>
      </c>
      <c r="BY15" s="47">
        <v>0.38</v>
      </c>
      <c r="BZ15" s="46">
        <f t="shared" si="24"/>
        <v>7.9220216745778792E-3</v>
      </c>
      <c r="CA15" s="47">
        <v>0.01</v>
      </c>
      <c r="CB15" s="46">
        <f t="shared" si="25"/>
        <v>2.0847425459415476E-4</v>
      </c>
      <c r="CC15" s="47">
        <v>1.06</v>
      </c>
      <c r="CD15" s="46">
        <f t="shared" si="26"/>
        <v>2.2098270986980403E-2</v>
      </c>
      <c r="CE15" s="47">
        <v>0.09</v>
      </c>
      <c r="CF15" s="46">
        <f t="shared" si="27"/>
        <v>1.8762682913473926E-3</v>
      </c>
      <c r="CG15" s="47">
        <v>0.19</v>
      </c>
      <c r="CH15" s="46">
        <f t="shared" si="28"/>
        <v>3.9610108372889396E-3</v>
      </c>
      <c r="CI15" s="43">
        <f>(CA15*435)+(CC15*256)-(CE15*282)</f>
        <v>250.33000000000004</v>
      </c>
      <c r="CJ15" s="42">
        <f t="shared" si="30"/>
        <v>5.2187360152554758</v>
      </c>
      <c r="CK15" s="47">
        <v>0.73599999999999999</v>
      </c>
      <c r="CL15" s="46">
        <f t="shared" si="44"/>
        <v>1.534370513812979E-2</v>
      </c>
      <c r="CM15" s="47">
        <f>AG15*0.4512</f>
        <v>1.8138239999999997</v>
      </c>
      <c r="CN15" s="46">
        <f t="shared" si="31"/>
        <v>3.7813560636498808E-2</v>
      </c>
      <c r="CO15" s="47">
        <v>38.31</v>
      </c>
      <c r="CP15" s="46">
        <f t="shared" si="32"/>
        <v>0.79866486935020675</v>
      </c>
      <c r="CQ15" s="47">
        <v>11.108000000000001</v>
      </c>
      <c r="CR15" s="46">
        <f t="shared" si="33"/>
        <v>0.23157320200318712</v>
      </c>
      <c r="CS15" s="47">
        <v>4.6479999999999997</v>
      </c>
      <c r="CT15" s="46">
        <f t="shared" si="34"/>
        <v>9.6898833535363105E-2</v>
      </c>
      <c r="CU15" s="47">
        <f t="shared" si="35"/>
        <v>57.567999999999998</v>
      </c>
      <c r="CV15" s="46">
        <f t="shared" si="36"/>
        <v>1.2001445888476299</v>
      </c>
      <c r="CW15" s="28">
        <v>0.25</v>
      </c>
      <c r="CX15" s="46">
        <f t="shared" si="37"/>
        <v>5.2118563648538684E-3</v>
      </c>
      <c r="CY15" s="28">
        <v>2</v>
      </c>
      <c r="CZ15" s="35">
        <f t="shared" si="38"/>
        <v>4.1694850918830947E-2</v>
      </c>
      <c r="DA15" s="45">
        <v>89.472999999999999</v>
      </c>
      <c r="DB15" s="46">
        <f t="shared" si="39"/>
        <v>1.8652816981302807</v>
      </c>
      <c r="DC15" s="145">
        <v>16.78</v>
      </c>
      <c r="DD15" s="28">
        <v>-16.78</v>
      </c>
      <c r="DE15" s="28"/>
      <c r="DF15" s="28"/>
      <c r="DG15" s="28">
        <v>-69.2</v>
      </c>
      <c r="DH15" s="28"/>
      <c r="DI15" s="28"/>
      <c r="DJ15" s="39"/>
      <c r="DK15" s="34"/>
      <c r="DL15" s="34"/>
      <c r="DM15" s="34"/>
      <c r="DN15" s="34"/>
      <c r="DO15" s="34"/>
    </row>
    <row r="16" spans="1:119" ht="15.5" x14ac:dyDescent="0.35">
      <c r="A16" s="34"/>
      <c r="B16" s="23">
        <v>55000</v>
      </c>
      <c r="C16" s="38">
        <f t="shared" si="46"/>
        <v>0</v>
      </c>
      <c r="D16" s="113" t="s">
        <v>133</v>
      </c>
      <c r="E16" s="161">
        <f>F16*$E$4/$F$38</f>
        <v>0</v>
      </c>
      <c r="F16" s="120">
        <v>0</v>
      </c>
      <c r="I16" s="87"/>
      <c r="J16" s="163">
        <f t="shared" si="47"/>
        <v>0</v>
      </c>
      <c r="K16" s="164">
        <f t="shared" si="48"/>
        <v>100</v>
      </c>
      <c r="L16" s="53"/>
      <c r="M16" s="88" t="s">
        <v>74</v>
      </c>
      <c r="N16" s="89" t="s">
        <v>55</v>
      </c>
      <c r="O16" s="12">
        <f>O11*1.24</f>
        <v>0.99199999999999999</v>
      </c>
      <c r="P16" s="12"/>
      <c r="Q16" s="118">
        <f t="shared" si="43"/>
        <v>0.99199999999999999</v>
      </c>
      <c r="R16" s="163">
        <f t="shared" si="49"/>
        <v>1000</v>
      </c>
      <c r="S16" s="79"/>
      <c r="T16" s="86">
        <f>SUM(BB5:BB37)</f>
        <v>1.6495655828093938</v>
      </c>
      <c r="U16" s="200"/>
      <c r="V16" s="8"/>
      <c r="W16" s="12">
        <f>W11*1.24</f>
        <v>0.86799999999999999</v>
      </c>
      <c r="X16" s="15"/>
      <c r="Y16" s="12"/>
      <c r="Z16" s="10"/>
      <c r="AA16" s="200"/>
      <c r="AB16" s="177" t="s">
        <v>133</v>
      </c>
      <c r="AC16" s="77">
        <v>8800</v>
      </c>
      <c r="AD16" s="72">
        <f t="shared" si="0"/>
        <v>0</v>
      </c>
      <c r="AE16" s="78"/>
      <c r="AF16" s="73">
        <f t="shared" si="1"/>
        <v>0</v>
      </c>
      <c r="AG16" s="75">
        <v>98</v>
      </c>
      <c r="AH16" s="74">
        <f t="shared" si="2"/>
        <v>0</v>
      </c>
      <c r="AI16" s="75"/>
      <c r="AJ16" s="74">
        <f t="shared" si="3"/>
        <v>0</v>
      </c>
      <c r="AK16" s="75"/>
      <c r="AL16" s="74">
        <f t="shared" si="4"/>
        <v>0</v>
      </c>
      <c r="AM16" s="75"/>
      <c r="AN16" s="74">
        <f t="shared" si="5"/>
        <v>0</v>
      </c>
      <c r="AO16" s="75"/>
      <c r="AP16" s="74">
        <f t="shared" si="6"/>
        <v>0</v>
      </c>
      <c r="AQ16" s="75"/>
      <c r="AR16" s="74">
        <f t="shared" si="7"/>
        <v>0</v>
      </c>
      <c r="AS16" s="75"/>
      <c r="AT16" s="74">
        <f t="shared" si="8"/>
        <v>0</v>
      </c>
      <c r="AU16" s="75"/>
      <c r="AV16" s="74">
        <f t="shared" si="9"/>
        <v>0</v>
      </c>
      <c r="AW16" s="75"/>
      <c r="AX16" s="74">
        <f t="shared" si="10"/>
        <v>0</v>
      </c>
      <c r="AY16" s="75"/>
      <c r="AZ16" s="74">
        <f t="shared" si="11"/>
        <v>0</v>
      </c>
      <c r="BA16" s="75"/>
      <c r="BB16" s="74">
        <f t="shared" si="12"/>
        <v>0</v>
      </c>
      <c r="BC16" s="75"/>
      <c r="BD16" s="74">
        <f t="shared" si="13"/>
        <v>0</v>
      </c>
      <c r="BE16" s="75"/>
      <c r="BF16" s="74">
        <f t="shared" si="14"/>
        <v>0</v>
      </c>
      <c r="BG16" s="75"/>
      <c r="BH16" s="74">
        <f t="shared" si="15"/>
        <v>0</v>
      </c>
      <c r="BI16" s="75"/>
      <c r="BJ16" s="74"/>
      <c r="BK16" s="75"/>
      <c r="BL16" s="74"/>
      <c r="BM16" s="75"/>
      <c r="BN16" s="75"/>
      <c r="BO16" s="74"/>
      <c r="BP16" s="75"/>
      <c r="BQ16" s="178"/>
      <c r="BR16" s="178"/>
      <c r="BS16" s="75"/>
      <c r="BT16" s="74">
        <f t="shared" si="21"/>
        <v>0</v>
      </c>
      <c r="BU16" s="75"/>
      <c r="BV16" s="74">
        <f t="shared" si="22"/>
        <v>0</v>
      </c>
      <c r="BW16" s="75"/>
      <c r="BX16" s="74">
        <f t="shared" si="23"/>
        <v>0</v>
      </c>
      <c r="BY16" s="75"/>
      <c r="BZ16" s="74">
        <f t="shared" si="24"/>
        <v>0</v>
      </c>
      <c r="CA16" s="75"/>
      <c r="CB16" s="74">
        <f t="shared" si="25"/>
        <v>0</v>
      </c>
      <c r="CC16" s="75"/>
      <c r="CD16" s="74">
        <f t="shared" si="26"/>
        <v>0</v>
      </c>
      <c r="CE16" s="75"/>
      <c r="CF16" s="74">
        <f t="shared" si="27"/>
        <v>0</v>
      </c>
      <c r="CG16" s="75"/>
      <c r="CH16" s="74">
        <f t="shared" si="28"/>
        <v>0</v>
      </c>
      <c r="CI16" s="77"/>
      <c r="CJ16" s="72">
        <f t="shared" si="30"/>
        <v>0</v>
      </c>
      <c r="CK16" s="75"/>
      <c r="CL16" s="74">
        <f t="shared" si="44"/>
        <v>0</v>
      </c>
      <c r="CM16" s="75"/>
      <c r="CN16" s="74">
        <f t="shared" si="31"/>
        <v>0</v>
      </c>
      <c r="CO16" s="75"/>
      <c r="CP16" s="74">
        <f t="shared" si="32"/>
        <v>0</v>
      </c>
      <c r="CQ16" s="75"/>
      <c r="CR16" s="74">
        <f t="shared" si="33"/>
        <v>0</v>
      </c>
      <c r="CS16" s="75"/>
      <c r="CT16" s="74">
        <f t="shared" si="34"/>
        <v>0</v>
      </c>
      <c r="CU16" s="75"/>
      <c r="CV16" s="74">
        <f t="shared" si="36"/>
        <v>0</v>
      </c>
      <c r="CW16" s="54">
        <v>0.9</v>
      </c>
      <c r="CX16" s="74">
        <f t="shared" si="37"/>
        <v>0</v>
      </c>
      <c r="CY16" s="54">
        <v>-40</v>
      </c>
      <c r="CZ16" s="79">
        <f t="shared" si="38"/>
        <v>0</v>
      </c>
      <c r="DA16" s="78">
        <v>80</v>
      </c>
      <c r="DB16" s="74">
        <f t="shared" si="39"/>
        <v>0</v>
      </c>
      <c r="DC16" s="179"/>
      <c r="DD16" s="54"/>
      <c r="DE16" s="54"/>
      <c r="DF16" s="54"/>
      <c r="DG16" s="54"/>
      <c r="DH16" s="54"/>
      <c r="DI16" s="54"/>
      <c r="DJ16" s="162"/>
      <c r="DK16" s="138"/>
      <c r="DL16" s="53"/>
      <c r="DM16" s="53"/>
      <c r="DN16" s="53"/>
      <c r="DO16" s="53"/>
    </row>
    <row r="17" spans="1:119" s="32" customFormat="1" ht="15" x14ac:dyDescent="0.3">
      <c r="A17" s="34"/>
      <c r="B17" s="59">
        <v>53000</v>
      </c>
      <c r="C17" s="58">
        <f t="shared" si="46"/>
        <v>3785.7142857142881</v>
      </c>
      <c r="D17" s="114" t="s">
        <v>16</v>
      </c>
      <c r="E17" s="119">
        <f t="shared" ref="E17:E31" si="52">F17*$E$4/$F$38</f>
        <v>71.4285714285719</v>
      </c>
      <c r="F17" s="119">
        <v>7.1428571428571477</v>
      </c>
      <c r="G17" s="35"/>
      <c r="H17" s="28"/>
      <c r="I17" s="39"/>
      <c r="J17" s="97">
        <f t="shared" si="47"/>
        <v>0</v>
      </c>
      <c r="K17" s="98">
        <f t="shared" si="48"/>
        <v>100</v>
      </c>
      <c r="L17" s="34"/>
      <c r="M17" s="60" t="s">
        <v>75</v>
      </c>
      <c r="N17" s="61" t="s">
        <v>55</v>
      </c>
      <c r="O17" s="71">
        <f>O11*1.1</f>
        <v>0.88000000000000012</v>
      </c>
      <c r="P17" s="71"/>
      <c r="Q17" s="106">
        <f t="shared" si="43"/>
        <v>0.88000000000000012</v>
      </c>
      <c r="R17" s="97">
        <f t="shared" si="49"/>
        <v>1000</v>
      </c>
      <c r="S17" s="35"/>
      <c r="T17" s="63">
        <f>SUM(BD5:BD37)</f>
        <v>0.93633949018672691</v>
      </c>
      <c r="U17" s="200"/>
      <c r="V17" s="8"/>
      <c r="W17" s="71">
        <f>W11*1.1</f>
        <v>0.77</v>
      </c>
      <c r="X17" s="15"/>
      <c r="Y17" s="71"/>
      <c r="Z17" s="10"/>
      <c r="AA17" s="200"/>
      <c r="AB17" s="143" t="s">
        <v>16</v>
      </c>
      <c r="AC17" s="134">
        <v>8800</v>
      </c>
      <c r="AD17" s="42">
        <f t="shared" si="0"/>
        <v>628.57142857142901</v>
      </c>
      <c r="AE17" s="135"/>
      <c r="AF17" s="44">
        <f t="shared" si="1"/>
        <v>0</v>
      </c>
      <c r="AG17" s="137">
        <v>98</v>
      </c>
      <c r="AH17" s="46">
        <f t="shared" si="2"/>
        <v>7.0000000000000044</v>
      </c>
      <c r="AI17" s="137"/>
      <c r="AJ17" s="46">
        <f t="shared" si="3"/>
        <v>0</v>
      </c>
      <c r="AK17" s="137"/>
      <c r="AL17" s="46">
        <f t="shared" si="4"/>
        <v>0</v>
      </c>
      <c r="AM17" s="137"/>
      <c r="AN17" s="46">
        <f t="shared" si="5"/>
        <v>0</v>
      </c>
      <c r="AO17" s="137"/>
      <c r="AP17" s="46">
        <f t="shared" si="6"/>
        <v>0</v>
      </c>
      <c r="AQ17" s="136"/>
      <c r="AR17" s="46">
        <f t="shared" si="7"/>
        <v>0</v>
      </c>
      <c r="AS17" s="136"/>
      <c r="AT17" s="46">
        <f t="shared" si="8"/>
        <v>0</v>
      </c>
      <c r="AU17" s="136"/>
      <c r="AV17" s="46">
        <f t="shared" si="9"/>
        <v>0</v>
      </c>
      <c r="AW17" s="136"/>
      <c r="AX17" s="46">
        <f t="shared" si="10"/>
        <v>0</v>
      </c>
      <c r="AY17" s="136"/>
      <c r="AZ17" s="46">
        <f t="shared" si="11"/>
        <v>0</v>
      </c>
      <c r="BA17" s="136"/>
      <c r="BB17" s="46">
        <f t="shared" si="12"/>
        <v>0</v>
      </c>
      <c r="BC17" s="136"/>
      <c r="BD17" s="46">
        <f t="shared" si="13"/>
        <v>0</v>
      </c>
      <c r="BE17" s="136"/>
      <c r="BF17" s="46">
        <f t="shared" si="14"/>
        <v>0</v>
      </c>
      <c r="BG17" s="136"/>
      <c r="BH17" s="46">
        <f t="shared" si="15"/>
        <v>0</v>
      </c>
      <c r="BI17" s="136"/>
      <c r="BJ17" s="46"/>
      <c r="BK17" s="136"/>
      <c r="BL17" s="46"/>
      <c r="BM17" s="136"/>
      <c r="BN17" s="136"/>
      <c r="BO17" s="46"/>
      <c r="BP17" s="136"/>
      <c r="BQ17" s="136"/>
      <c r="BR17" s="136"/>
      <c r="BS17" s="136"/>
      <c r="BT17" s="46">
        <f t="shared" si="21"/>
        <v>0</v>
      </c>
      <c r="BU17" s="136"/>
      <c r="BV17" s="46">
        <f t="shared" si="22"/>
        <v>0</v>
      </c>
      <c r="BW17" s="136"/>
      <c r="BX17" s="46">
        <f t="shared" si="23"/>
        <v>0</v>
      </c>
      <c r="BY17" s="136"/>
      <c r="BZ17" s="46">
        <f t="shared" si="24"/>
        <v>0</v>
      </c>
      <c r="CA17" s="136"/>
      <c r="CB17" s="46">
        <f t="shared" si="25"/>
        <v>0</v>
      </c>
      <c r="CC17" s="137"/>
      <c r="CD17" s="46">
        <f t="shared" si="26"/>
        <v>0</v>
      </c>
      <c r="CE17" s="136"/>
      <c r="CF17" s="46">
        <f t="shared" si="27"/>
        <v>0</v>
      </c>
      <c r="CG17" s="137"/>
      <c r="CH17" s="46">
        <f t="shared" si="28"/>
        <v>0</v>
      </c>
      <c r="CI17" s="137"/>
      <c r="CJ17" s="42">
        <f t="shared" si="30"/>
        <v>0</v>
      </c>
      <c r="CK17" s="136"/>
      <c r="CL17" s="46">
        <f t="shared" si="44"/>
        <v>0</v>
      </c>
      <c r="CM17" s="137">
        <f>AG17*0.5</f>
        <v>49</v>
      </c>
      <c r="CN17" s="46">
        <f t="shared" si="31"/>
        <v>3.5000000000000022</v>
      </c>
      <c r="CO17" s="137"/>
      <c r="CP17" s="46">
        <f t="shared" si="32"/>
        <v>0</v>
      </c>
      <c r="CQ17" s="137"/>
      <c r="CR17" s="46">
        <f t="shared" si="33"/>
        <v>0</v>
      </c>
      <c r="CS17" s="137"/>
      <c r="CT17" s="46">
        <f t="shared" si="34"/>
        <v>0</v>
      </c>
      <c r="CU17" s="137"/>
      <c r="CV17" s="46">
        <f t="shared" si="36"/>
        <v>0</v>
      </c>
      <c r="CW17" s="126">
        <v>0.9</v>
      </c>
      <c r="CX17" s="46">
        <f t="shared" si="37"/>
        <v>6.4285714285714335E-2</v>
      </c>
      <c r="CY17" s="126">
        <v>-40</v>
      </c>
      <c r="CZ17" s="35">
        <f t="shared" si="38"/>
        <v>-2.8571428571428594</v>
      </c>
      <c r="DA17" s="135">
        <v>80</v>
      </c>
      <c r="DB17" s="46">
        <f t="shared" si="39"/>
        <v>5.7142857142857189</v>
      </c>
      <c r="DC17" s="125"/>
      <c r="DD17" s="126"/>
      <c r="DE17" s="126"/>
      <c r="DF17" s="126"/>
      <c r="DG17" s="126"/>
      <c r="DH17" s="126"/>
      <c r="DI17" s="126"/>
      <c r="DJ17" s="127"/>
      <c r="DK17" s="34"/>
      <c r="DL17" s="34"/>
      <c r="DM17" s="34"/>
      <c r="DN17" s="34"/>
      <c r="DO17" s="34"/>
    </row>
    <row r="18" spans="1:119" s="32" customFormat="1" ht="15" x14ac:dyDescent="0.35">
      <c r="A18" s="34"/>
      <c r="B18" s="23">
        <v>175000</v>
      </c>
      <c r="C18" s="38">
        <f t="shared" si="46"/>
        <v>683.66566611382791</v>
      </c>
      <c r="D18" s="115" t="s">
        <v>17</v>
      </c>
      <c r="E18" s="161">
        <f t="shared" si="52"/>
        <v>3.9066609492218967</v>
      </c>
      <c r="F18" s="120">
        <v>0.39066609492218735</v>
      </c>
      <c r="G18" s="36"/>
      <c r="H18" s="158"/>
      <c r="I18" s="87"/>
      <c r="J18" s="99">
        <f t="shared" si="47"/>
        <v>0</v>
      </c>
      <c r="K18" s="100">
        <f t="shared" si="48"/>
        <v>100</v>
      </c>
      <c r="L18" s="34"/>
      <c r="M18" s="1" t="s">
        <v>76</v>
      </c>
      <c r="N18" s="27" t="s">
        <v>55</v>
      </c>
      <c r="O18" s="12">
        <f>O11*1.4</f>
        <v>1.1199999999999999</v>
      </c>
      <c r="P18" s="12"/>
      <c r="Q18" s="117">
        <f t="shared" si="43"/>
        <v>1.1199999999999999</v>
      </c>
      <c r="R18" s="99">
        <f t="shared" si="49"/>
        <v>1000</v>
      </c>
      <c r="S18" s="36"/>
      <c r="T18" s="2">
        <f>SUM(BH5:BH37)</f>
        <v>1.1455474523168354</v>
      </c>
      <c r="U18" s="200"/>
      <c r="V18" s="8"/>
      <c r="W18" s="12">
        <f>W11*1.4</f>
        <v>0.97999999999999987</v>
      </c>
      <c r="X18" s="15"/>
      <c r="Y18" s="12"/>
      <c r="Z18" s="10"/>
      <c r="AA18" s="200"/>
      <c r="AB18" s="177" t="s">
        <v>17</v>
      </c>
      <c r="AC18" s="77">
        <v>5019</v>
      </c>
      <c r="AD18" s="72">
        <f t="shared" si="0"/>
        <v>19.607531304144583</v>
      </c>
      <c r="AE18" s="78">
        <v>58.1</v>
      </c>
      <c r="AF18" s="73">
        <f t="shared" si="1"/>
        <v>0.22697700114979083</v>
      </c>
      <c r="AG18" s="75"/>
      <c r="AH18" s="74"/>
      <c r="AI18" s="75"/>
      <c r="AJ18" s="74"/>
      <c r="AK18" s="75"/>
      <c r="AL18" s="74"/>
      <c r="AM18" s="75"/>
      <c r="AN18" s="74">
        <f t="shared" si="5"/>
        <v>0</v>
      </c>
      <c r="AO18" s="75">
        <v>0.5</v>
      </c>
      <c r="AP18" s="74">
        <f t="shared" si="6"/>
        <v>1.9533304746109366E-3</v>
      </c>
      <c r="AQ18" s="75"/>
      <c r="AR18" s="74">
        <f t="shared" si="7"/>
        <v>0</v>
      </c>
      <c r="AS18" s="75">
        <v>99</v>
      </c>
      <c r="AT18" s="74">
        <f t="shared" si="8"/>
        <v>0.38675943397296547</v>
      </c>
      <c r="AU18" s="75">
        <v>99</v>
      </c>
      <c r="AV18" s="74">
        <f t="shared" si="9"/>
        <v>0.38675943397296547</v>
      </c>
      <c r="AW18" s="75"/>
      <c r="AX18" s="74">
        <f t="shared" si="10"/>
        <v>0</v>
      </c>
      <c r="AY18" s="75"/>
      <c r="AZ18" s="74">
        <f t="shared" si="11"/>
        <v>0</v>
      </c>
      <c r="BA18" s="75"/>
      <c r="BB18" s="74">
        <f t="shared" si="12"/>
        <v>0</v>
      </c>
      <c r="BC18" s="75"/>
      <c r="BD18" s="74">
        <f t="shared" si="13"/>
        <v>0</v>
      </c>
      <c r="BE18" s="75"/>
      <c r="BF18" s="74">
        <f t="shared" si="14"/>
        <v>0</v>
      </c>
      <c r="BG18" s="75"/>
      <c r="BH18" s="74">
        <f t="shared" si="15"/>
        <v>0</v>
      </c>
      <c r="BI18" s="75"/>
      <c r="BJ18" s="74"/>
      <c r="BK18" s="75"/>
      <c r="BL18" s="74"/>
      <c r="BM18" s="75"/>
      <c r="BN18" s="75"/>
      <c r="BO18" s="74"/>
      <c r="BP18" s="75"/>
      <c r="BQ18" s="178"/>
      <c r="BR18" s="178"/>
      <c r="BS18" s="75"/>
      <c r="BT18" s="74">
        <f t="shared" si="21"/>
        <v>0</v>
      </c>
      <c r="BU18" s="75"/>
      <c r="BV18" s="74">
        <f t="shared" si="22"/>
        <v>0</v>
      </c>
      <c r="BW18" s="75"/>
      <c r="BX18" s="74">
        <f t="shared" si="23"/>
        <v>0</v>
      </c>
      <c r="BY18" s="75"/>
      <c r="BZ18" s="74">
        <f t="shared" si="24"/>
        <v>0</v>
      </c>
      <c r="CA18" s="75"/>
      <c r="CB18" s="74">
        <f t="shared" si="25"/>
        <v>0</v>
      </c>
      <c r="CC18" s="75"/>
      <c r="CD18" s="74">
        <f t="shared" si="26"/>
        <v>0</v>
      </c>
      <c r="CE18" s="75"/>
      <c r="CF18" s="74">
        <f t="shared" si="27"/>
        <v>0</v>
      </c>
      <c r="CG18" s="75">
        <v>21.445</v>
      </c>
      <c r="CH18" s="74">
        <f t="shared" si="28"/>
        <v>8.3778344056063075E-2</v>
      </c>
      <c r="CI18" s="77"/>
      <c r="CJ18" s="72">
        <f t="shared" si="30"/>
        <v>0</v>
      </c>
      <c r="CK18" s="75"/>
      <c r="CL18" s="74">
        <f t="shared" si="44"/>
        <v>0</v>
      </c>
      <c r="CM18" s="75"/>
      <c r="CN18" s="74">
        <f t="shared" si="31"/>
        <v>0</v>
      </c>
      <c r="CO18" s="75"/>
      <c r="CP18" s="74">
        <f t="shared" si="32"/>
        <v>0</v>
      </c>
      <c r="CQ18" s="75"/>
      <c r="CR18" s="74">
        <f t="shared" si="33"/>
        <v>0</v>
      </c>
      <c r="CS18" s="75"/>
      <c r="CT18" s="74">
        <f t="shared" si="34"/>
        <v>0</v>
      </c>
      <c r="CU18" s="75"/>
      <c r="CV18" s="74">
        <f t="shared" si="36"/>
        <v>0</v>
      </c>
      <c r="CW18" s="54">
        <v>0.7</v>
      </c>
      <c r="CX18" s="74">
        <f t="shared" si="37"/>
        <v>2.7346626644553112E-3</v>
      </c>
      <c r="CY18" s="54">
        <v>2</v>
      </c>
      <c r="CZ18" s="79">
        <f t="shared" si="38"/>
        <v>7.8133218984437463E-3</v>
      </c>
      <c r="DA18" s="78">
        <v>98</v>
      </c>
      <c r="DB18" s="74">
        <f t="shared" si="39"/>
        <v>0.3828527730237436</v>
      </c>
      <c r="DC18" s="179"/>
      <c r="DD18" s="54"/>
      <c r="DE18" s="54"/>
      <c r="DF18" s="54"/>
      <c r="DG18" s="54"/>
      <c r="DH18" s="54"/>
      <c r="DI18" s="54"/>
      <c r="DJ18" s="162"/>
      <c r="DK18" s="34"/>
      <c r="DL18" s="34"/>
      <c r="DM18" s="34"/>
      <c r="DN18" s="34"/>
      <c r="DO18" s="34"/>
    </row>
    <row r="19" spans="1:119" s="32" customFormat="1" ht="15" x14ac:dyDescent="0.35">
      <c r="A19" s="34"/>
      <c r="B19" s="59">
        <v>120000</v>
      </c>
      <c r="C19" s="58">
        <f t="shared" si="46"/>
        <v>0</v>
      </c>
      <c r="D19" s="114" t="s">
        <v>99</v>
      </c>
      <c r="E19" s="119">
        <f t="shared" si="52"/>
        <v>0</v>
      </c>
      <c r="F19" s="119">
        <v>0</v>
      </c>
      <c r="G19" s="35"/>
      <c r="H19" s="28"/>
      <c r="I19" s="39"/>
      <c r="J19" s="97">
        <f t="shared" si="47"/>
        <v>0</v>
      </c>
      <c r="K19" s="98">
        <f t="shared" si="48"/>
        <v>100</v>
      </c>
      <c r="L19" s="34"/>
      <c r="M19" s="60" t="s">
        <v>156</v>
      </c>
      <c r="N19" s="61" t="s">
        <v>55</v>
      </c>
      <c r="O19" s="70">
        <f>O11*1.95</f>
        <v>1.56</v>
      </c>
      <c r="P19" s="71"/>
      <c r="Q19" s="189">
        <f t="shared" si="43"/>
        <v>1.56</v>
      </c>
      <c r="R19" s="97">
        <f t="shared" si="49"/>
        <v>1000</v>
      </c>
      <c r="S19" s="35"/>
      <c r="T19" s="63">
        <f>SUM(BF5:BF37)</f>
        <v>1.7721160803427665</v>
      </c>
      <c r="U19" s="200"/>
      <c r="V19" s="13"/>
      <c r="W19" s="70">
        <f>W11*1.95</f>
        <v>1.365</v>
      </c>
      <c r="X19" s="20"/>
      <c r="Y19" s="70"/>
      <c r="Z19" s="14"/>
      <c r="AA19" s="200"/>
      <c r="AB19" s="143" t="s">
        <v>99</v>
      </c>
      <c r="AC19" s="43">
        <v>3991</v>
      </c>
      <c r="AD19" s="42">
        <f t="shared" si="0"/>
        <v>0</v>
      </c>
      <c r="AE19" s="45">
        <v>93.4</v>
      </c>
      <c r="AF19" s="44">
        <f t="shared" si="1"/>
        <v>0</v>
      </c>
      <c r="AG19" s="47"/>
      <c r="AH19" s="46"/>
      <c r="AI19" s="47"/>
      <c r="AJ19" s="46"/>
      <c r="AK19" s="47"/>
      <c r="AL19" s="46"/>
      <c r="AM19" s="47"/>
      <c r="AN19" s="46">
        <f t="shared" si="5"/>
        <v>0</v>
      </c>
      <c r="AO19" s="47">
        <v>0.5</v>
      </c>
      <c r="AP19" s="46">
        <f t="shared" si="6"/>
        <v>0</v>
      </c>
      <c r="AQ19" s="47">
        <v>78</v>
      </c>
      <c r="AR19" s="46">
        <f t="shared" si="7"/>
        <v>0</v>
      </c>
      <c r="AS19" s="47"/>
      <c r="AT19" s="46">
        <f t="shared" si="8"/>
        <v>0</v>
      </c>
      <c r="AU19" s="47"/>
      <c r="AV19" s="46">
        <f t="shared" si="9"/>
        <v>0</v>
      </c>
      <c r="AW19" s="47"/>
      <c r="AX19" s="46">
        <f t="shared" si="10"/>
        <v>0</v>
      </c>
      <c r="AY19" s="47"/>
      <c r="AZ19" s="46">
        <f t="shared" si="11"/>
        <v>0</v>
      </c>
      <c r="BA19" s="47"/>
      <c r="BB19" s="46">
        <f t="shared" si="12"/>
        <v>0</v>
      </c>
      <c r="BC19" s="47"/>
      <c r="BD19" s="46">
        <f t="shared" si="13"/>
        <v>0</v>
      </c>
      <c r="BE19" s="47"/>
      <c r="BF19" s="46">
        <f t="shared" si="14"/>
        <v>0</v>
      </c>
      <c r="BG19" s="47"/>
      <c r="BH19" s="46">
        <f t="shared" si="15"/>
        <v>0</v>
      </c>
      <c r="BI19" s="47"/>
      <c r="BJ19" s="46"/>
      <c r="BK19" s="47"/>
      <c r="BL19" s="46"/>
      <c r="BM19" s="47"/>
      <c r="BN19" s="47"/>
      <c r="BO19" s="46"/>
      <c r="BP19" s="47"/>
      <c r="BQ19" s="48"/>
      <c r="BR19" s="48"/>
      <c r="BS19" s="47"/>
      <c r="BT19" s="46">
        <f t="shared" si="21"/>
        <v>0</v>
      </c>
      <c r="BU19" s="47"/>
      <c r="BV19" s="46">
        <f t="shared" si="22"/>
        <v>0</v>
      </c>
      <c r="BW19" s="47"/>
      <c r="BX19" s="46">
        <f t="shared" si="23"/>
        <v>0</v>
      </c>
      <c r="BY19" s="47"/>
      <c r="BZ19" s="46">
        <f t="shared" si="24"/>
        <v>0</v>
      </c>
      <c r="CA19" s="47"/>
      <c r="CB19" s="46">
        <f t="shared" si="25"/>
        <v>0</v>
      </c>
      <c r="CC19" s="47"/>
      <c r="CD19" s="46">
        <f t="shared" si="26"/>
        <v>0</v>
      </c>
      <c r="CE19" s="47">
        <v>19.399999999999999</v>
      </c>
      <c r="CF19" s="46">
        <f t="shared" si="27"/>
        <v>0</v>
      </c>
      <c r="CG19" s="47"/>
      <c r="CH19" s="46">
        <f t="shared" si="28"/>
        <v>0</v>
      </c>
      <c r="CI19" s="43">
        <f>(CA19*435)+(CC19*256)-(CE19*282)</f>
        <v>-5470.7999999999993</v>
      </c>
      <c r="CJ19" s="42">
        <f t="shared" si="30"/>
        <v>0</v>
      </c>
      <c r="CK19" s="47"/>
      <c r="CL19" s="46">
        <f t="shared" si="44"/>
        <v>0</v>
      </c>
      <c r="CM19" s="47"/>
      <c r="CN19" s="46">
        <f t="shared" si="31"/>
        <v>0</v>
      </c>
      <c r="CO19" s="47"/>
      <c r="CP19" s="46">
        <f t="shared" si="32"/>
        <v>0</v>
      </c>
      <c r="CQ19" s="47"/>
      <c r="CR19" s="46">
        <f t="shared" si="33"/>
        <v>0</v>
      </c>
      <c r="CS19" s="47"/>
      <c r="CT19" s="46">
        <f t="shared" si="34"/>
        <v>0</v>
      </c>
      <c r="CU19" s="47"/>
      <c r="CV19" s="46">
        <f t="shared" si="36"/>
        <v>0</v>
      </c>
      <c r="CW19" s="28">
        <v>0.7</v>
      </c>
      <c r="CX19" s="46">
        <f t="shared" si="37"/>
        <v>0</v>
      </c>
      <c r="CY19" s="28">
        <v>2</v>
      </c>
      <c r="CZ19" s="35">
        <f t="shared" si="38"/>
        <v>0</v>
      </c>
      <c r="DA19" s="45">
        <v>98</v>
      </c>
      <c r="DB19" s="46">
        <f t="shared" si="39"/>
        <v>0</v>
      </c>
      <c r="DC19" s="145"/>
      <c r="DD19" s="28"/>
      <c r="DE19" s="28"/>
      <c r="DF19" s="28"/>
      <c r="DG19" s="28"/>
      <c r="DH19" s="28"/>
      <c r="DI19" s="28"/>
      <c r="DJ19" s="39"/>
      <c r="DK19" s="34"/>
      <c r="DL19" s="34"/>
      <c r="DM19" s="34"/>
      <c r="DN19" s="34"/>
      <c r="DO19" s="34"/>
    </row>
    <row r="20" spans="1:119" s="32" customFormat="1" ht="15" x14ac:dyDescent="0.35">
      <c r="A20" s="34"/>
      <c r="B20" s="159">
        <v>105000</v>
      </c>
      <c r="C20" s="38">
        <f t="shared" si="46"/>
        <v>91.059341265024955</v>
      </c>
      <c r="D20" s="160" t="s">
        <v>18</v>
      </c>
      <c r="E20" s="161">
        <f t="shared" si="52"/>
        <v>0.86723182157167122</v>
      </c>
      <c r="F20" s="161">
        <v>8.6723182157166623E-2</v>
      </c>
      <c r="G20" s="79"/>
      <c r="H20" s="54"/>
      <c r="I20" s="162"/>
      <c r="J20" s="163">
        <f t="shared" si="47"/>
        <v>0</v>
      </c>
      <c r="K20" s="164">
        <f t="shared" si="48"/>
        <v>100</v>
      </c>
      <c r="L20" s="34"/>
      <c r="M20" s="88" t="s">
        <v>157</v>
      </c>
      <c r="N20" s="89" t="s">
        <v>55</v>
      </c>
      <c r="O20" s="12">
        <f>O11*0.55</f>
        <v>0.44000000000000006</v>
      </c>
      <c r="P20" s="12"/>
      <c r="Q20" s="117">
        <f t="shared" si="43"/>
        <v>0.44000000000000006</v>
      </c>
      <c r="R20" s="99">
        <f t="shared" si="49"/>
        <v>1000</v>
      </c>
      <c r="S20" s="79"/>
      <c r="T20" s="86">
        <f>SUM(BJ5:BJ37)</f>
        <v>0.556941129428705</v>
      </c>
      <c r="U20" s="200"/>
      <c r="V20" s="8"/>
      <c r="W20" s="12">
        <f>W11*0.55</f>
        <v>0.38500000000000001</v>
      </c>
      <c r="X20" s="15"/>
      <c r="Y20" s="12"/>
      <c r="Z20" s="10"/>
      <c r="AA20" s="200"/>
      <c r="AB20" s="177" t="s">
        <v>18</v>
      </c>
      <c r="AC20" s="77">
        <v>3489</v>
      </c>
      <c r="AD20" s="72">
        <f t="shared" si="0"/>
        <v>3.0257718254635435</v>
      </c>
      <c r="AE20" s="78">
        <v>73.5</v>
      </c>
      <c r="AF20" s="73">
        <f t="shared" si="1"/>
        <v>6.3741538885517465E-2</v>
      </c>
      <c r="AG20" s="75"/>
      <c r="AH20" s="74"/>
      <c r="AI20" s="75"/>
      <c r="AJ20" s="74"/>
      <c r="AK20" s="75"/>
      <c r="AL20" s="74"/>
      <c r="AM20" s="75"/>
      <c r="AN20" s="74">
        <f t="shared" si="5"/>
        <v>0</v>
      </c>
      <c r="AO20" s="75">
        <v>0.5</v>
      </c>
      <c r="AP20" s="74">
        <f t="shared" si="6"/>
        <v>4.3361591078583313E-4</v>
      </c>
      <c r="AQ20" s="75"/>
      <c r="AR20" s="74">
        <f t="shared" si="7"/>
        <v>0</v>
      </c>
      <c r="AS20" s="75"/>
      <c r="AT20" s="74">
        <f t="shared" si="8"/>
        <v>0</v>
      </c>
      <c r="AU20" s="75"/>
      <c r="AV20" s="74">
        <f t="shared" si="9"/>
        <v>0</v>
      </c>
      <c r="AW20" s="75">
        <v>98.5</v>
      </c>
      <c r="AX20" s="74">
        <f t="shared" si="10"/>
        <v>8.5422334424809121E-2</v>
      </c>
      <c r="AY20" s="75"/>
      <c r="AZ20" s="74">
        <f t="shared" si="11"/>
        <v>0</v>
      </c>
      <c r="BA20" s="75"/>
      <c r="BB20" s="74">
        <f t="shared" si="12"/>
        <v>0</v>
      </c>
      <c r="BC20" s="75"/>
      <c r="BD20" s="74">
        <f t="shared" si="13"/>
        <v>0</v>
      </c>
      <c r="BE20" s="75"/>
      <c r="BF20" s="74">
        <f t="shared" si="14"/>
        <v>0</v>
      </c>
      <c r="BG20" s="75"/>
      <c r="BH20" s="74">
        <f t="shared" si="15"/>
        <v>0</v>
      </c>
      <c r="BI20" s="75"/>
      <c r="BJ20" s="74"/>
      <c r="BK20" s="75"/>
      <c r="BL20" s="74"/>
      <c r="BM20" s="75"/>
      <c r="BN20" s="75"/>
      <c r="BO20" s="74"/>
      <c r="BP20" s="75"/>
      <c r="BQ20" s="178"/>
      <c r="BR20" s="178"/>
      <c r="BS20" s="75"/>
      <c r="BT20" s="74">
        <f t="shared" si="21"/>
        <v>0</v>
      </c>
      <c r="BU20" s="75"/>
      <c r="BV20" s="74">
        <f t="shared" si="22"/>
        <v>0</v>
      </c>
      <c r="BW20" s="75"/>
      <c r="BX20" s="74">
        <f t="shared" si="23"/>
        <v>0</v>
      </c>
      <c r="BY20" s="75"/>
      <c r="BZ20" s="74">
        <f t="shared" si="24"/>
        <v>0</v>
      </c>
      <c r="CA20" s="75"/>
      <c r="CB20" s="74">
        <f t="shared" si="25"/>
        <v>0</v>
      </c>
      <c r="CC20" s="75"/>
      <c r="CD20" s="74">
        <f t="shared" si="26"/>
        <v>0</v>
      </c>
      <c r="CE20" s="75"/>
      <c r="CF20" s="74">
        <f t="shared" si="27"/>
        <v>0</v>
      </c>
      <c r="CG20" s="75"/>
      <c r="CH20" s="74">
        <f t="shared" si="28"/>
        <v>0</v>
      </c>
      <c r="CI20" s="77"/>
      <c r="CJ20" s="72">
        <f t="shared" si="30"/>
        <v>0</v>
      </c>
      <c r="CK20" s="75"/>
      <c r="CL20" s="74">
        <f t="shared" si="44"/>
        <v>0</v>
      </c>
      <c r="CM20" s="75"/>
      <c r="CN20" s="74">
        <f t="shared" si="31"/>
        <v>0</v>
      </c>
      <c r="CO20" s="75"/>
      <c r="CP20" s="74">
        <f t="shared" si="32"/>
        <v>0</v>
      </c>
      <c r="CQ20" s="75"/>
      <c r="CR20" s="74">
        <f t="shared" si="33"/>
        <v>0</v>
      </c>
      <c r="CS20" s="75"/>
      <c r="CT20" s="74">
        <f t="shared" si="34"/>
        <v>0</v>
      </c>
      <c r="CU20" s="75"/>
      <c r="CV20" s="74">
        <f t="shared" si="36"/>
        <v>0</v>
      </c>
      <c r="CW20" s="54">
        <v>0.7</v>
      </c>
      <c r="CX20" s="74">
        <f t="shared" si="37"/>
        <v>6.0706227510016629E-4</v>
      </c>
      <c r="CY20" s="54">
        <v>2</v>
      </c>
      <c r="CZ20" s="79">
        <f t="shared" si="38"/>
        <v>1.7344636431433325E-3</v>
      </c>
      <c r="DA20" s="78">
        <v>98</v>
      </c>
      <c r="DB20" s="74">
        <f t="shared" si="39"/>
        <v>8.4988718514023287E-2</v>
      </c>
      <c r="DC20" s="179"/>
      <c r="DD20" s="54"/>
      <c r="DE20" s="54"/>
      <c r="DF20" s="54"/>
      <c r="DG20" s="54"/>
      <c r="DH20" s="54"/>
      <c r="DI20" s="54"/>
      <c r="DJ20" s="162"/>
      <c r="DK20" s="34"/>
      <c r="DL20" s="34"/>
      <c r="DM20" s="34"/>
      <c r="DN20" s="34"/>
      <c r="DO20" s="34"/>
    </row>
    <row r="21" spans="1:119" s="32" customFormat="1" ht="15" x14ac:dyDescent="0.35">
      <c r="A21" s="34"/>
      <c r="B21" s="59">
        <v>600000</v>
      </c>
      <c r="C21" s="58">
        <f t="shared" si="46"/>
        <v>434.23414695572183</v>
      </c>
      <c r="D21" s="114" t="s">
        <v>19</v>
      </c>
      <c r="E21" s="119">
        <f t="shared" si="52"/>
        <v>0.72372357825954059</v>
      </c>
      <c r="F21" s="119">
        <v>7.2372357825953637E-2</v>
      </c>
      <c r="G21" s="35"/>
      <c r="H21" s="28"/>
      <c r="I21" s="39"/>
      <c r="J21" s="97">
        <f t="shared" si="47"/>
        <v>0</v>
      </c>
      <c r="K21" s="98">
        <f t="shared" si="48"/>
        <v>100</v>
      </c>
      <c r="L21" s="34"/>
      <c r="M21" s="60" t="s">
        <v>158</v>
      </c>
      <c r="N21" s="61" t="s">
        <v>55</v>
      </c>
      <c r="O21" s="71">
        <f>O11*1.29</f>
        <v>1.032</v>
      </c>
      <c r="P21" s="71"/>
      <c r="Q21" s="189">
        <f t="shared" si="43"/>
        <v>1.032</v>
      </c>
      <c r="R21" s="97">
        <f t="shared" si="49"/>
        <v>1000</v>
      </c>
      <c r="S21" s="35"/>
      <c r="T21" s="63">
        <f>SUM(BL5:BL37)</f>
        <v>1.0319999999999943</v>
      </c>
      <c r="U21" s="200"/>
      <c r="V21" s="8"/>
      <c r="W21" s="71">
        <f>W11*1.29</f>
        <v>0.90299999999999991</v>
      </c>
      <c r="X21" s="15"/>
      <c r="Y21" s="71"/>
      <c r="Z21" s="10"/>
      <c r="AA21" s="200"/>
      <c r="AB21" s="143" t="s">
        <v>19</v>
      </c>
      <c r="AC21" s="43">
        <v>5712</v>
      </c>
      <c r="AD21" s="42">
        <f t="shared" si="0"/>
        <v>4.1339090790184718</v>
      </c>
      <c r="AE21" s="45">
        <v>85.75</v>
      </c>
      <c r="AF21" s="44">
        <f t="shared" si="1"/>
        <v>6.205929683575525E-2</v>
      </c>
      <c r="AG21" s="47"/>
      <c r="AH21" s="46"/>
      <c r="AI21" s="47"/>
      <c r="AJ21" s="46"/>
      <c r="AK21" s="47"/>
      <c r="AL21" s="46"/>
      <c r="AM21" s="47"/>
      <c r="AN21" s="46">
        <f t="shared" si="5"/>
        <v>0</v>
      </c>
      <c r="AO21" s="47">
        <v>0.5</v>
      </c>
      <c r="AP21" s="46">
        <f t="shared" si="6"/>
        <v>3.618617891297682E-4</v>
      </c>
      <c r="AQ21" s="47"/>
      <c r="AR21" s="46">
        <f t="shared" si="7"/>
        <v>0</v>
      </c>
      <c r="AS21" s="47"/>
      <c r="AT21" s="46">
        <f t="shared" si="8"/>
        <v>0</v>
      </c>
      <c r="AU21" s="47"/>
      <c r="AV21" s="46">
        <f t="shared" si="9"/>
        <v>0</v>
      </c>
      <c r="AW21" s="47"/>
      <c r="AX21" s="46">
        <f t="shared" si="10"/>
        <v>0</v>
      </c>
      <c r="AY21" s="47">
        <v>98</v>
      </c>
      <c r="AZ21" s="46">
        <f t="shared" si="11"/>
        <v>7.0924910669434557E-2</v>
      </c>
      <c r="BA21" s="47"/>
      <c r="BB21" s="46">
        <f t="shared" si="12"/>
        <v>0</v>
      </c>
      <c r="BC21" s="47"/>
      <c r="BD21" s="46">
        <f t="shared" si="13"/>
        <v>0</v>
      </c>
      <c r="BE21" s="47"/>
      <c r="BF21" s="46">
        <f t="shared" si="14"/>
        <v>0</v>
      </c>
      <c r="BG21" s="47"/>
      <c r="BH21" s="46">
        <f t="shared" si="15"/>
        <v>0</v>
      </c>
      <c r="BI21" s="47"/>
      <c r="BJ21" s="46"/>
      <c r="BK21" s="47"/>
      <c r="BL21" s="46"/>
      <c r="BM21" s="47"/>
      <c r="BN21" s="47"/>
      <c r="BO21" s="46"/>
      <c r="BP21" s="47"/>
      <c r="BQ21" s="48"/>
      <c r="BR21" s="48"/>
      <c r="BS21" s="47"/>
      <c r="BT21" s="46">
        <f t="shared" si="21"/>
        <v>0</v>
      </c>
      <c r="BU21" s="47"/>
      <c r="BV21" s="46">
        <f t="shared" si="22"/>
        <v>0</v>
      </c>
      <c r="BW21" s="47"/>
      <c r="BX21" s="46">
        <f t="shared" si="23"/>
        <v>0</v>
      </c>
      <c r="BY21" s="47"/>
      <c r="BZ21" s="46">
        <f t="shared" si="24"/>
        <v>0</v>
      </c>
      <c r="CA21" s="47"/>
      <c r="CB21" s="46">
        <f t="shared" si="25"/>
        <v>0</v>
      </c>
      <c r="CC21" s="47"/>
      <c r="CD21" s="46">
        <f t="shared" si="26"/>
        <v>0</v>
      </c>
      <c r="CE21" s="47"/>
      <c r="CF21" s="46">
        <f t="shared" si="27"/>
        <v>0</v>
      </c>
      <c r="CG21" s="47"/>
      <c r="CH21" s="46">
        <f t="shared" si="28"/>
        <v>0</v>
      </c>
      <c r="CI21" s="43"/>
      <c r="CJ21" s="42">
        <f t="shared" si="30"/>
        <v>0</v>
      </c>
      <c r="CK21" s="47"/>
      <c r="CL21" s="46">
        <f t="shared" si="44"/>
        <v>0</v>
      </c>
      <c r="CM21" s="47"/>
      <c r="CN21" s="46">
        <f t="shared" si="31"/>
        <v>0</v>
      </c>
      <c r="CO21" s="47"/>
      <c r="CP21" s="46">
        <f t="shared" si="32"/>
        <v>0</v>
      </c>
      <c r="CQ21" s="47"/>
      <c r="CR21" s="46">
        <f t="shared" si="33"/>
        <v>0</v>
      </c>
      <c r="CS21" s="47"/>
      <c r="CT21" s="46">
        <f t="shared" si="34"/>
        <v>0</v>
      </c>
      <c r="CU21" s="47"/>
      <c r="CV21" s="46">
        <f t="shared" si="36"/>
        <v>0</v>
      </c>
      <c r="CW21" s="28">
        <v>0.7</v>
      </c>
      <c r="CX21" s="46">
        <f t="shared" si="37"/>
        <v>5.0660650478167538E-4</v>
      </c>
      <c r="CY21" s="28">
        <v>2</v>
      </c>
      <c r="CZ21" s="35">
        <f t="shared" si="38"/>
        <v>1.4474471565190728E-3</v>
      </c>
      <c r="DA21" s="45">
        <v>98</v>
      </c>
      <c r="DB21" s="46">
        <f t="shared" si="39"/>
        <v>7.0924910669434557E-2</v>
      </c>
      <c r="DC21" s="145"/>
      <c r="DD21" s="28"/>
      <c r="DE21" s="28"/>
      <c r="DF21" s="28"/>
      <c r="DG21" s="28"/>
      <c r="DH21" s="28"/>
      <c r="DI21" s="28"/>
      <c r="DJ21" s="39"/>
      <c r="DK21" s="34"/>
      <c r="DL21" s="34"/>
      <c r="DM21" s="34"/>
      <c r="DN21" s="34"/>
      <c r="DO21" s="34"/>
    </row>
    <row r="22" spans="1:119" s="32" customFormat="1" ht="15" x14ac:dyDescent="0.35">
      <c r="A22" s="34"/>
      <c r="B22" s="23">
        <v>400000</v>
      </c>
      <c r="C22" s="38">
        <f t="shared" si="46"/>
        <v>0</v>
      </c>
      <c r="D22" s="113" t="s">
        <v>20</v>
      </c>
      <c r="E22" s="161">
        <f t="shared" si="52"/>
        <v>0</v>
      </c>
      <c r="F22" s="120">
        <v>0</v>
      </c>
      <c r="G22" s="36"/>
      <c r="H22" s="158"/>
      <c r="I22" s="87"/>
      <c r="J22" s="99">
        <f t="shared" si="47"/>
        <v>0</v>
      </c>
      <c r="K22" s="100">
        <f t="shared" si="48"/>
        <v>100</v>
      </c>
      <c r="L22" s="34"/>
      <c r="M22" s="88" t="s">
        <v>159</v>
      </c>
      <c r="N22" s="89" t="s">
        <v>55</v>
      </c>
      <c r="O22" s="116">
        <f>O11*2.12</f>
        <v>1.6960000000000002</v>
      </c>
      <c r="P22" s="12"/>
      <c r="Q22" s="117">
        <f t="shared" si="43"/>
        <v>1.6960000000000002</v>
      </c>
      <c r="R22" s="99">
        <f t="shared" si="49"/>
        <v>1000</v>
      </c>
      <c r="S22" s="79"/>
      <c r="T22" s="86">
        <f>SUM(BO5:BO37)</f>
        <v>1.8268582420492272</v>
      </c>
      <c r="U22" s="200"/>
      <c r="V22" s="8"/>
      <c r="W22" s="116">
        <f>W11*2.12</f>
        <v>1.484</v>
      </c>
      <c r="X22" s="15"/>
      <c r="Y22" s="12"/>
      <c r="Z22" s="10"/>
      <c r="AA22" s="200"/>
      <c r="AB22" s="144" t="s">
        <v>20</v>
      </c>
      <c r="AC22" s="49">
        <v>4983</v>
      </c>
      <c r="AD22" s="72">
        <f t="shared" si="0"/>
        <v>0</v>
      </c>
      <c r="AE22" s="50">
        <v>74.75</v>
      </c>
      <c r="AF22" s="73">
        <f t="shared" si="1"/>
        <v>0</v>
      </c>
      <c r="AG22" s="75"/>
      <c r="AH22" s="74"/>
      <c r="AI22" s="75"/>
      <c r="AJ22" s="74"/>
      <c r="AK22" s="75"/>
      <c r="AL22" s="74"/>
      <c r="AM22" s="51"/>
      <c r="AN22" s="74">
        <f t="shared" si="5"/>
        <v>0</v>
      </c>
      <c r="AO22" s="75">
        <v>0.5</v>
      </c>
      <c r="AP22" s="74">
        <f t="shared" si="6"/>
        <v>0</v>
      </c>
      <c r="AQ22" s="51"/>
      <c r="AR22" s="131"/>
      <c r="AS22" s="51"/>
      <c r="AT22" s="131"/>
      <c r="AU22" s="51"/>
      <c r="AV22" s="131"/>
      <c r="AW22" s="51"/>
      <c r="AX22" s="131"/>
      <c r="AY22" s="51"/>
      <c r="AZ22" s="131"/>
      <c r="BA22" s="51"/>
      <c r="BB22" s="131">
        <f t="shared" si="12"/>
        <v>0</v>
      </c>
      <c r="BC22" s="51"/>
      <c r="BD22" s="131">
        <f t="shared" si="13"/>
        <v>0</v>
      </c>
      <c r="BE22" s="51"/>
      <c r="BF22" s="131">
        <f t="shared" si="14"/>
        <v>0</v>
      </c>
      <c r="BG22" s="51">
        <v>99</v>
      </c>
      <c r="BH22" s="131">
        <f t="shared" si="15"/>
        <v>0</v>
      </c>
      <c r="BI22" s="51"/>
      <c r="BJ22" s="131"/>
      <c r="BK22" s="51"/>
      <c r="BL22" s="131"/>
      <c r="BM22" s="51"/>
      <c r="BN22" s="51"/>
      <c r="BO22" s="131"/>
      <c r="BP22" s="51"/>
      <c r="BQ22" s="52"/>
      <c r="BR22" s="52"/>
      <c r="BS22" s="51"/>
      <c r="BT22" s="74">
        <f t="shared" si="21"/>
        <v>0</v>
      </c>
      <c r="BU22" s="51"/>
      <c r="BV22" s="74">
        <f t="shared" si="22"/>
        <v>0</v>
      </c>
      <c r="BW22" s="51"/>
      <c r="BX22" s="74">
        <f t="shared" si="23"/>
        <v>0</v>
      </c>
      <c r="BY22" s="75"/>
      <c r="BZ22" s="74">
        <f t="shared" si="24"/>
        <v>0</v>
      </c>
      <c r="CA22" s="75"/>
      <c r="CB22" s="74">
        <f t="shared" si="25"/>
        <v>0</v>
      </c>
      <c r="CC22" s="75"/>
      <c r="CD22" s="74">
        <f t="shared" si="26"/>
        <v>0</v>
      </c>
      <c r="CE22" s="75"/>
      <c r="CF22" s="74">
        <f t="shared" si="27"/>
        <v>0</v>
      </c>
      <c r="CG22" s="75"/>
      <c r="CH22" s="74">
        <f t="shared" si="28"/>
        <v>0</v>
      </c>
      <c r="CI22" s="77"/>
      <c r="CJ22" s="72">
        <f t="shared" si="30"/>
        <v>0</v>
      </c>
      <c r="CK22" s="75"/>
      <c r="CL22" s="74">
        <f t="shared" si="44"/>
        <v>0</v>
      </c>
      <c r="CM22" s="75"/>
      <c r="CN22" s="74">
        <f t="shared" si="31"/>
        <v>0</v>
      </c>
      <c r="CO22" s="75"/>
      <c r="CP22" s="74">
        <f t="shared" si="32"/>
        <v>0</v>
      </c>
      <c r="CQ22" s="75"/>
      <c r="CR22" s="74">
        <f t="shared" si="33"/>
        <v>0</v>
      </c>
      <c r="CS22" s="51"/>
      <c r="CT22" s="131">
        <f t="shared" si="34"/>
        <v>0</v>
      </c>
      <c r="CU22" s="51"/>
      <c r="CV22" s="131">
        <f t="shared" si="36"/>
        <v>0</v>
      </c>
      <c r="CW22" s="158">
        <v>0.7</v>
      </c>
      <c r="CX22" s="74">
        <f t="shared" si="37"/>
        <v>0</v>
      </c>
      <c r="CY22" s="54">
        <v>2</v>
      </c>
      <c r="CZ22" s="79">
        <f t="shared" si="38"/>
        <v>0</v>
      </c>
      <c r="DA22" s="50">
        <v>98</v>
      </c>
      <c r="DB22" s="74">
        <f t="shared" si="39"/>
        <v>0</v>
      </c>
      <c r="DC22" s="146"/>
      <c r="DD22" s="158"/>
      <c r="DE22" s="158"/>
      <c r="DF22" s="158"/>
      <c r="DG22" s="158"/>
      <c r="DH22" s="158"/>
      <c r="DI22" s="158"/>
      <c r="DJ22" s="87"/>
      <c r="DK22" s="34"/>
      <c r="DL22" s="34"/>
      <c r="DM22" s="34"/>
      <c r="DN22" s="34"/>
      <c r="DO22" s="34"/>
    </row>
    <row r="23" spans="1:119" s="32" customFormat="1" ht="15" x14ac:dyDescent="0.35">
      <c r="A23" s="34"/>
      <c r="B23" s="59">
        <v>600000</v>
      </c>
      <c r="C23" s="58">
        <f t="shared" si="46"/>
        <v>0</v>
      </c>
      <c r="D23" s="114" t="s">
        <v>86</v>
      </c>
      <c r="E23" s="119">
        <f t="shared" si="52"/>
        <v>0</v>
      </c>
      <c r="F23" s="119">
        <v>0</v>
      </c>
      <c r="G23" s="35"/>
      <c r="H23" s="28"/>
      <c r="I23" s="39"/>
      <c r="J23" s="97">
        <f t="shared" si="47"/>
        <v>0</v>
      </c>
      <c r="K23" s="98">
        <f t="shared" si="48"/>
        <v>100</v>
      </c>
      <c r="L23" s="34"/>
      <c r="M23" s="60" t="s">
        <v>77</v>
      </c>
      <c r="N23" s="61" t="s">
        <v>55</v>
      </c>
      <c r="O23" s="71">
        <v>0.5</v>
      </c>
      <c r="P23" s="71">
        <v>1.5</v>
      </c>
      <c r="Q23" s="106">
        <f t="shared" si="43"/>
        <v>0.5</v>
      </c>
      <c r="R23" s="97">
        <f t="shared" si="49"/>
        <v>1.5</v>
      </c>
      <c r="S23" s="35"/>
      <c r="T23" s="63">
        <f>SUM(BT5:BT37)</f>
        <v>1.4999999999999798</v>
      </c>
      <c r="U23" s="34"/>
      <c r="V23" s="8"/>
      <c r="W23" s="71">
        <v>0.5</v>
      </c>
      <c r="X23" s="15"/>
      <c r="Y23" s="71">
        <v>1.5</v>
      </c>
      <c r="Z23" s="10"/>
      <c r="AA23" s="34"/>
      <c r="AB23" s="143" t="s">
        <v>86</v>
      </c>
      <c r="AC23" s="43">
        <v>2836</v>
      </c>
      <c r="AD23" s="42">
        <f t="shared" si="0"/>
        <v>0</v>
      </c>
      <c r="AE23" s="45">
        <v>65.8</v>
      </c>
      <c r="AF23" s="44">
        <f t="shared" si="1"/>
        <v>0</v>
      </c>
      <c r="AG23" s="47"/>
      <c r="AH23" s="46"/>
      <c r="AI23" s="47"/>
      <c r="AJ23" s="46"/>
      <c r="AK23" s="47"/>
      <c r="AL23" s="46"/>
      <c r="AM23" s="47"/>
      <c r="AN23" s="46">
        <f t="shared" si="5"/>
        <v>0</v>
      </c>
      <c r="AO23" s="47">
        <v>0.5</v>
      </c>
      <c r="AP23" s="46">
        <f t="shared" si="6"/>
        <v>0</v>
      </c>
      <c r="AQ23" s="47"/>
      <c r="AR23" s="46"/>
      <c r="AS23" s="47"/>
      <c r="AT23" s="46"/>
      <c r="AU23" s="47"/>
      <c r="AV23" s="46"/>
      <c r="AW23" s="47"/>
      <c r="AX23" s="46"/>
      <c r="AY23" s="47"/>
      <c r="AZ23" s="46"/>
      <c r="BA23" s="47"/>
      <c r="BB23" s="46">
        <f t="shared" si="12"/>
        <v>0</v>
      </c>
      <c r="BC23" s="47">
        <v>90</v>
      </c>
      <c r="BD23" s="46">
        <f t="shared" si="13"/>
        <v>0</v>
      </c>
      <c r="BE23" s="47"/>
      <c r="BF23" s="46">
        <f t="shared" si="14"/>
        <v>0</v>
      </c>
      <c r="BG23" s="47"/>
      <c r="BH23" s="46">
        <f t="shared" si="15"/>
        <v>0</v>
      </c>
      <c r="BI23" s="47"/>
      <c r="BJ23" s="46"/>
      <c r="BK23" s="47"/>
      <c r="BL23" s="46"/>
      <c r="BM23" s="47"/>
      <c r="BN23" s="47"/>
      <c r="BO23" s="46"/>
      <c r="BP23" s="47"/>
      <c r="BQ23" s="48"/>
      <c r="BR23" s="48"/>
      <c r="BS23" s="47"/>
      <c r="BT23" s="46">
        <f t="shared" si="21"/>
        <v>0</v>
      </c>
      <c r="BU23" s="47"/>
      <c r="BV23" s="46">
        <f t="shared" si="22"/>
        <v>0</v>
      </c>
      <c r="BW23" s="47"/>
      <c r="BX23" s="46">
        <f t="shared" si="23"/>
        <v>0</v>
      </c>
      <c r="BY23" s="47"/>
      <c r="BZ23" s="46">
        <f t="shared" si="24"/>
        <v>0</v>
      </c>
      <c r="CA23" s="47"/>
      <c r="CB23" s="46">
        <f t="shared" si="25"/>
        <v>0</v>
      </c>
      <c r="CC23" s="47"/>
      <c r="CD23" s="46">
        <f t="shared" si="26"/>
        <v>0</v>
      </c>
      <c r="CE23" s="47"/>
      <c r="CF23" s="46">
        <f t="shared" si="27"/>
        <v>0</v>
      </c>
      <c r="CG23" s="47"/>
      <c r="CH23" s="46">
        <f t="shared" si="28"/>
        <v>0</v>
      </c>
      <c r="CI23" s="43"/>
      <c r="CJ23" s="42">
        <f t="shared" si="30"/>
        <v>0</v>
      </c>
      <c r="CK23" s="47"/>
      <c r="CL23" s="46">
        <f t="shared" si="44"/>
        <v>0</v>
      </c>
      <c r="CM23" s="47"/>
      <c r="CN23" s="46">
        <f t="shared" si="31"/>
        <v>0</v>
      </c>
      <c r="CO23" s="47"/>
      <c r="CP23" s="46">
        <f t="shared" si="32"/>
        <v>0</v>
      </c>
      <c r="CQ23" s="47"/>
      <c r="CR23" s="46">
        <f t="shared" si="33"/>
        <v>0</v>
      </c>
      <c r="CS23" s="47"/>
      <c r="CT23" s="46">
        <f t="shared" si="34"/>
        <v>0</v>
      </c>
      <c r="CU23" s="47"/>
      <c r="CV23" s="46">
        <f t="shared" si="36"/>
        <v>0</v>
      </c>
      <c r="CW23" s="28">
        <v>0.7</v>
      </c>
      <c r="CX23" s="46">
        <f t="shared" si="37"/>
        <v>0</v>
      </c>
      <c r="CY23" s="28">
        <v>2</v>
      </c>
      <c r="CZ23" s="35">
        <f t="shared" si="38"/>
        <v>0</v>
      </c>
      <c r="DA23" s="45">
        <v>98</v>
      </c>
      <c r="DB23" s="46">
        <f t="shared" si="39"/>
        <v>0</v>
      </c>
      <c r="DC23" s="145"/>
      <c r="DD23" s="28"/>
      <c r="DE23" s="28"/>
      <c r="DF23" s="28"/>
      <c r="DG23" s="28"/>
      <c r="DH23" s="28"/>
      <c r="DI23" s="28"/>
      <c r="DJ23" s="39"/>
      <c r="DK23" s="34"/>
      <c r="DL23" s="34"/>
      <c r="DM23" s="34"/>
      <c r="DN23" s="34"/>
      <c r="DO23" s="34"/>
    </row>
    <row r="24" spans="1:119" s="32" customFormat="1" ht="15" x14ac:dyDescent="0.35">
      <c r="A24" s="34"/>
      <c r="B24" s="23">
        <v>500000</v>
      </c>
      <c r="C24" s="38">
        <f t="shared" si="46"/>
        <v>0</v>
      </c>
      <c r="D24" s="113" t="s">
        <v>34</v>
      </c>
      <c r="E24" s="161">
        <f t="shared" si="52"/>
        <v>0</v>
      </c>
      <c r="F24" s="120">
        <v>0</v>
      </c>
      <c r="G24" s="36"/>
      <c r="H24" s="158"/>
      <c r="I24" s="87"/>
      <c r="J24" s="99">
        <f t="shared" si="47"/>
        <v>0</v>
      </c>
      <c r="K24" s="100">
        <f t="shared" si="48"/>
        <v>100</v>
      </c>
      <c r="L24" s="34"/>
      <c r="M24" s="1" t="s">
        <v>85</v>
      </c>
      <c r="N24" s="27" t="s">
        <v>55</v>
      </c>
      <c r="O24" s="12">
        <v>0.5</v>
      </c>
      <c r="P24" s="116">
        <v>0.7</v>
      </c>
      <c r="Q24" s="117">
        <f t="shared" si="43"/>
        <v>0.5</v>
      </c>
      <c r="R24" s="99">
        <f t="shared" si="49"/>
        <v>0.7</v>
      </c>
      <c r="S24" s="36"/>
      <c r="T24" s="2">
        <f>SUM(BX5:BX37)</f>
        <v>0.4999999999999899</v>
      </c>
      <c r="U24" s="34"/>
      <c r="V24" s="8"/>
      <c r="W24" s="12">
        <v>0.5</v>
      </c>
      <c r="X24" s="15"/>
      <c r="Y24" s="12">
        <v>0.7</v>
      </c>
      <c r="Z24" s="10"/>
      <c r="AA24" s="34"/>
      <c r="AB24" s="144" t="s">
        <v>34</v>
      </c>
      <c r="AC24" s="49">
        <v>2940</v>
      </c>
      <c r="AD24" s="72">
        <f t="shared" si="0"/>
        <v>0</v>
      </c>
      <c r="AE24" s="50">
        <v>201</v>
      </c>
      <c r="AF24" s="73">
        <f t="shared" si="1"/>
        <v>0</v>
      </c>
      <c r="AG24" s="75"/>
      <c r="AH24" s="74"/>
      <c r="AI24" s="75"/>
      <c r="AJ24" s="74"/>
      <c r="AK24" s="75"/>
      <c r="AL24" s="74"/>
      <c r="AM24" s="51"/>
      <c r="AN24" s="74">
        <f t="shared" si="5"/>
        <v>0</v>
      </c>
      <c r="AO24" s="75">
        <v>0.5</v>
      </c>
      <c r="AP24" s="74">
        <f t="shared" si="6"/>
        <v>0</v>
      </c>
      <c r="AQ24" s="51"/>
      <c r="AR24" s="131"/>
      <c r="AS24" s="51"/>
      <c r="AT24" s="131"/>
      <c r="AU24" s="51"/>
      <c r="AV24" s="131"/>
      <c r="AW24" s="51"/>
      <c r="AX24" s="131"/>
      <c r="AY24" s="51"/>
      <c r="AZ24" s="131"/>
      <c r="BA24" s="51">
        <v>99</v>
      </c>
      <c r="BB24" s="131">
        <f t="shared" si="12"/>
        <v>0</v>
      </c>
      <c r="BC24" s="51"/>
      <c r="BD24" s="131">
        <f t="shared" si="13"/>
        <v>0</v>
      </c>
      <c r="BE24" s="51"/>
      <c r="BF24" s="131">
        <f t="shared" si="14"/>
        <v>0</v>
      </c>
      <c r="BG24" s="51"/>
      <c r="BH24" s="131">
        <f t="shared" si="15"/>
        <v>0</v>
      </c>
      <c r="BI24" s="51"/>
      <c r="BJ24" s="131"/>
      <c r="BK24" s="51"/>
      <c r="BL24" s="131"/>
      <c r="BM24" s="51"/>
      <c r="BN24" s="51"/>
      <c r="BO24" s="131"/>
      <c r="BP24" s="51"/>
      <c r="BQ24" s="52"/>
      <c r="BR24" s="52"/>
      <c r="BS24" s="51"/>
      <c r="BT24" s="74">
        <f t="shared" si="21"/>
        <v>0</v>
      </c>
      <c r="BU24" s="75"/>
      <c r="BV24" s="74">
        <f t="shared" si="22"/>
        <v>0</v>
      </c>
      <c r="BW24" s="75"/>
      <c r="BX24" s="74">
        <f t="shared" si="23"/>
        <v>0</v>
      </c>
      <c r="BY24" s="75"/>
      <c r="BZ24" s="74">
        <f t="shared" si="24"/>
        <v>0</v>
      </c>
      <c r="CA24" s="75"/>
      <c r="CB24" s="74">
        <f t="shared" si="25"/>
        <v>0</v>
      </c>
      <c r="CC24" s="75"/>
      <c r="CD24" s="74">
        <f t="shared" si="26"/>
        <v>0</v>
      </c>
      <c r="CE24" s="75"/>
      <c r="CF24" s="74">
        <f t="shared" si="27"/>
        <v>0</v>
      </c>
      <c r="CG24" s="75"/>
      <c r="CH24" s="74">
        <f t="shared" si="28"/>
        <v>0</v>
      </c>
      <c r="CI24" s="77"/>
      <c r="CJ24" s="72">
        <f t="shared" si="30"/>
        <v>0</v>
      </c>
      <c r="CK24" s="75"/>
      <c r="CL24" s="74">
        <f t="shared" si="44"/>
        <v>0</v>
      </c>
      <c r="CM24" s="75"/>
      <c r="CN24" s="74">
        <f t="shared" si="31"/>
        <v>0</v>
      </c>
      <c r="CO24" s="75"/>
      <c r="CP24" s="74">
        <f t="shared" si="32"/>
        <v>0</v>
      </c>
      <c r="CQ24" s="75"/>
      <c r="CR24" s="74">
        <f t="shared" si="33"/>
        <v>0</v>
      </c>
      <c r="CS24" s="51"/>
      <c r="CT24" s="131">
        <f t="shared" si="34"/>
        <v>0</v>
      </c>
      <c r="CU24" s="51"/>
      <c r="CV24" s="131">
        <f t="shared" si="36"/>
        <v>0</v>
      </c>
      <c r="CW24" s="158">
        <v>0.7</v>
      </c>
      <c r="CX24" s="74">
        <f t="shared" si="37"/>
        <v>0</v>
      </c>
      <c r="CY24" s="54">
        <v>2</v>
      </c>
      <c r="CZ24" s="79">
        <f t="shared" si="38"/>
        <v>0</v>
      </c>
      <c r="DA24" s="50">
        <v>98</v>
      </c>
      <c r="DB24" s="74">
        <f t="shared" si="39"/>
        <v>0</v>
      </c>
      <c r="DC24" s="146"/>
      <c r="DD24" s="158"/>
      <c r="DE24" s="158"/>
      <c r="DF24" s="158"/>
      <c r="DG24" s="158"/>
      <c r="DH24" s="158"/>
      <c r="DI24" s="158"/>
      <c r="DJ24" s="87"/>
      <c r="DK24" s="34"/>
      <c r="DL24" s="34"/>
      <c r="DM24" s="34"/>
      <c r="DN24" s="34"/>
      <c r="DO24" s="34"/>
    </row>
    <row r="25" spans="1:119" s="32" customFormat="1" ht="15" x14ac:dyDescent="0.35">
      <c r="A25" s="34"/>
      <c r="B25" s="59">
        <v>45000</v>
      </c>
      <c r="C25" s="58">
        <f t="shared" si="46"/>
        <v>0</v>
      </c>
      <c r="D25" s="114" t="s">
        <v>21</v>
      </c>
      <c r="E25" s="119">
        <f t="shared" si="52"/>
        <v>0</v>
      </c>
      <c r="F25" s="119">
        <v>0</v>
      </c>
      <c r="G25" s="35"/>
      <c r="H25" s="28"/>
      <c r="I25" s="39"/>
      <c r="J25" s="97">
        <f t="shared" si="47"/>
        <v>0</v>
      </c>
      <c r="K25" s="98">
        <f t="shared" si="48"/>
        <v>100</v>
      </c>
      <c r="L25" s="34"/>
      <c r="M25" s="60" t="s">
        <v>78</v>
      </c>
      <c r="N25" s="61" t="s">
        <v>55</v>
      </c>
      <c r="O25" s="71">
        <v>0.2</v>
      </c>
      <c r="P25" s="109"/>
      <c r="Q25" s="106">
        <f t="shared" si="43"/>
        <v>0.2</v>
      </c>
      <c r="R25" s="97">
        <f t="shared" si="49"/>
        <v>1000</v>
      </c>
      <c r="S25" s="35"/>
      <c r="T25" s="63">
        <f>SUM(CB5:CB37)</f>
        <v>0.19999999999999668</v>
      </c>
      <c r="U25" s="34"/>
      <c r="V25" s="8"/>
      <c r="W25" s="71">
        <v>0.16</v>
      </c>
      <c r="X25" s="15"/>
      <c r="Y25" s="71">
        <v>0.2</v>
      </c>
      <c r="Z25" s="10"/>
      <c r="AA25" s="34"/>
      <c r="AB25" s="143" t="s">
        <v>21</v>
      </c>
      <c r="AC25" s="43"/>
      <c r="AD25" s="42">
        <f t="shared" si="0"/>
        <v>0</v>
      </c>
      <c r="AE25" s="45"/>
      <c r="AF25" s="44">
        <f t="shared" si="1"/>
        <v>0</v>
      </c>
      <c r="AG25" s="47"/>
      <c r="AH25" s="46"/>
      <c r="AI25" s="47"/>
      <c r="AJ25" s="46"/>
      <c r="AK25" s="47"/>
      <c r="AL25" s="46"/>
      <c r="AM25" s="47"/>
      <c r="AN25" s="46">
        <f t="shared" si="5"/>
        <v>0</v>
      </c>
      <c r="AO25" s="47">
        <v>99</v>
      </c>
      <c r="AP25" s="46">
        <f t="shared" si="6"/>
        <v>0</v>
      </c>
      <c r="AQ25" s="47"/>
      <c r="AR25" s="46"/>
      <c r="AS25" s="47"/>
      <c r="AT25" s="46"/>
      <c r="AU25" s="47"/>
      <c r="AV25" s="46"/>
      <c r="AW25" s="47"/>
      <c r="AX25" s="46"/>
      <c r="AY25" s="47"/>
      <c r="AZ25" s="46"/>
      <c r="BA25" s="47"/>
      <c r="BB25" s="46"/>
      <c r="BC25" s="47"/>
      <c r="BD25" s="46"/>
      <c r="BE25" s="47"/>
      <c r="BF25" s="46"/>
      <c r="BG25" s="47"/>
      <c r="BH25" s="46"/>
      <c r="BI25" s="47"/>
      <c r="BJ25" s="46"/>
      <c r="BK25" s="47"/>
      <c r="BL25" s="46"/>
      <c r="BM25" s="47"/>
      <c r="BN25" s="47"/>
      <c r="BO25" s="46"/>
      <c r="BP25" s="47"/>
      <c r="BQ25" s="48"/>
      <c r="BR25" s="48"/>
      <c r="BS25" s="47">
        <v>22</v>
      </c>
      <c r="BT25" s="46">
        <f t="shared" si="21"/>
        <v>0</v>
      </c>
      <c r="BU25" s="47">
        <v>19</v>
      </c>
      <c r="BV25" s="46">
        <f t="shared" si="22"/>
        <v>0</v>
      </c>
      <c r="BW25" s="47">
        <f>BU25*0.85</f>
        <v>16.149999999999999</v>
      </c>
      <c r="BX25" s="46">
        <f t="shared" si="23"/>
        <v>0</v>
      </c>
      <c r="BY25" s="47">
        <v>0.91</v>
      </c>
      <c r="BZ25" s="46">
        <f t="shared" si="24"/>
        <v>0</v>
      </c>
      <c r="CA25" s="47"/>
      <c r="CB25" s="46">
        <f t="shared" si="25"/>
        <v>0</v>
      </c>
      <c r="CC25" s="47"/>
      <c r="CD25" s="46">
        <f t="shared" si="26"/>
        <v>0</v>
      </c>
      <c r="CE25" s="47"/>
      <c r="CF25" s="46">
        <f t="shared" si="27"/>
        <v>0</v>
      </c>
      <c r="CG25" s="47"/>
      <c r="CH25" s="46">
        <f t="shared" si="28"/>
        <v>0</v>
      </c>
      <c r="CI25" s="43"/>
      <c r="CJ25" s="42">
        <f t="shared" si="30"/>
        <v>0</v>
      </c>
      <c r="CK25" s="47"/>
      <c r="CL25" s="46">
        <f t="shared" si="44"/>
        <v>0</v>
      </c>
      <c r="CM25" s="47"/>
      <c r="CN25" s="46">
        <f t="shared" si="31"/>
        <v>0</v>
      </c>
      <c r="CO25" s="47"/>
      <c r="CP25" s="46">
        <f t="shared" si="32"/>
        <v>0</v>
      </c>
      <c r="CQ25" s="47"/>
      <c r="CR25" s="46">
        <f t="shared" si="33"/>
        <v>0</v>
      </c>
      <c r="CS25" s="47"/>
      <c r="CT25" s="46">
        <f t="shared" si="34"/>
        <v>0</v>
      </c>
      <c r="CU25" s="47"/>
      <c r="CV25" s="46">
        <f t="shared" si="36"/>
        <v>0</v>
      </c>
      <c r="CW25" s="28">
        <v>1</v>
      </c>
      <c r="CX25" s="46">
        <f t="shared" si="37"/>
        <v>0</v>
      </c>
      <c r="CY25" s="28">
        <v>2</v>
      </c>
      <c r="CZ25" s="35">
        <f t="shared" si="38"/>
        <v>0</v>
      </c>
      <c r="DA25" s="45">
        <v>98</v>
      </c>
      <c r="DB25" s="46">
        <f t="shared" si="39"/>
        <v>0</v>
      </c>
      <c r="DC25" s="145"/>
      <c r="DD25" s="28"/>
      <c r="DE25" s="28"/>
      <c r="DF25" s="28"/>
      <c r="DG25" s="28"/>
      <c r="DH25" s="28"/>
      <c r="DI25" s="28"/>
      <c r="DJ25" s="39"/>
      <c r="DK25" s="34"/>
      <c r="DL25" s="34"/>
      <c r="DM25" s="34"/>
      <c r="DN25" s="34"/>
      <c r="DO25" s="34"/>
    </row>
    <row r="26" spans="1:119" s="32" customFormat="1" ht="15" x14ac:dyDescent="0.35">
      <c r="A26" s="34"/>
      <c r="B26" s="23">
        <v>55000</v>
      </c>
      <c r="C26" s="38">
        <f t="shared" si="46"/>
        <v>117.22995531292301</v>
      </c>
      <c r="D26" s="113" t="s">
        <v>22</v>
      </c>
      <c r="E26" s="161">
        <f t="shared" si="52"/>
        <v>2.1314537329622492</v>
      </c>
      <c r="F26" s="120">
        <v>0.21314537329622366</v>
      </c>
      <c r="G26" s="30"/>
      <c r="H26" s="37"/>
      <c r="I26" s="87"/>
      <c r="J26" s="163">
        <f t="shared" si="47"/>
        <v>0</v>
      </c>
      <c r="K26" s="164">
        <f t="shared" si="48"/>
        <v>100</v>
      </c>
      <c r="L26" s="34"/>
      <c r="M26" s="88" t="s">
        <v>79</v>
      </c>
      <c r="N26" s="89" t="s">
        <v>55</v>
      </c>
      <c r="O26" s="12">
        <v>0.6</v>
      </c>
      <c r="P26" s="188"/>
      <c r="Q26" s="118">
        <f t="shared" si="43"/>
        <v>0.6</v>
      </c>
      <c r="R26" s="163">
        <f t="shared" si="49"/>
        <v>1000</v>
      </c>
      <c r="S26" s="79"/>
      <c r="T26" s="86">
        <f>SUM(CD5:CD37)</f>
        <v>0.59999999999999853</v>
      </c>
      <c r="U26" s="34"/>
      <c r="V26" s="8"/>
      <c r="W26" s="12">
        <v>0.6</v>
      </c>
      <c r="X26" s="15"/>
      <c r="Y26" s="12">
        <v>1</v>
      </c>
      <c r="Z26" s="10"/>
      <c r="AA26" s="34"/>
      <c r="AB26" s="177" t="s">
        <v>22</v>
      </c>
      <c r="AC26" s="77"/>
      <c r="AD26" s="72">
        <f t="shared" si="0"/>
        <v>0</v>
      </c>
      <c r="AE26" s="78"/>
      <c r="AF26" s="73">
        <f t="shared" si="1"/>
        <v>0</v>
      </c>
      <c r="AG26" s="75"/>
      <c r="AH26" s="74"/>
      <c r="AI26" s="75"/>
      <c r="AJ26" s="74"/>
      <c r="AK26" s="75"/>
      <c r="AL26" s="74"/>
      <c r="AM26" s="75"/>
      <c r="AN26" s="74">
        <f t="shared" si="5"/>
        <v>0</v>
      </c>
      <c r="AO26" s="75">
        <v>99</v>
      </c>
      <c r="AP26" s="74">
        <f t="shared" si="6"/>
        <v>0.2110139195632614</v>
      </c>
      <c r="AQ26" s="75"/>
      <c r="AR26" s="74"/>
      <c r="AS26" s="75"/>
      <c r="AT26" s="74"/>
      <c r="AU26" s="75"/>
      <c r="AV26" s="74"/>
      <c r="AW26" s="75"/>
      <c r="AX26" s="74"/>
      <c r="AY26" s="75"/>
      <c r="AZ26" s="74"/>
      <c r="BA26" s="75"/>
      <c r="BB26" s="74"/>
      <c r="BC26" s="75"/>
      <c r="BD26" s="74"/>
      <c r="BE26" s="75"/>
      <c r="BF26" s="74"/>
      <c r="BG26" s="75"/>
      <c r="BH26" s="74"/>
      <c r="BI26" s="75"/>
      <c r="BJ26" s="74"/>
      <c r="BK26" s="75"/>
      <c r="BL26" s="74"/>
      <c r="BM26" s="75"/>
      <c r="BN26" s="75"/>
      <c r="BO26" s="74"/>
      <c r="BP26" s="75"/>
      <c r="BQ26" s="178"/>
      <c r="BR26" s="178"/>
      <c r="BS26" s="75">
        <v>17.5</v>
      </c>
      <c r="BT26" s="74">
        <f t="shared" si="21"/>
        <v>3.7300440326839136E-2</v>
      </c>
      <c r="BU26" s="75">
        <v>22.5</v>
      </c>
      <c r="BV26" s="74">
        <f t="shared" si="22"/>
        <v>4.7957708991650326E-2</v>
      </c>
      <c r="BW26" s="75">
        <f>BU26*0.95</f>
        <v>21.375</v>
      </c>
      <c r="BX26" s="74">
        <f t="shared" si="23"/>
        <v>4.5559823542067807E-2</v>
      </c>
      <c r="BY26" s="75"/>
      <c r="BZ26" s="74">
        <f t="shared" si="24"/>
        <v>0</v>
      </c>
      <c r="CA26" s="75"/>
      <c r="CB26" s="74">
        <f t="shared" si="25"/>
        <v>0</v>
      </c>
      <c r="CC26" s="75"/>
      <c r="CD26" s="74">
        <f t="shared" si="26"/>
        <v>0</v>
      </c>
      <c r="CE26" s="75"/>
      <c r="CF26" s="74">
        <f t="shared" si="27"/>
        <v>0</v>
      </c>
      <c r="CG26" s="75"/>
      <c r="CH26" s="74">
        <f t="shared" si="28"/>
        <v>0</v>
      </c>
      <c r="CI26" s="77"/>
      <c r="CJ26" s="72">
        <f t="shared" si="30"/>
        <v>0</v>
      </c>
      <c r="CK26" s="75"/>
      <c r="CL26" s="74">
        <f t="shared" si="44"/>
        <v>0</v>
      </c>
      <c r="CM26" s="75"/>
      <c r="CN26" s="74">
        <f t="shared" si="31"/>
        <v>0</v>
      </c>
      <c r="CO26" s="75"/>
      <c r="CP26" s="74">
        <f t="shared" si="32"/>
        <v>0</v>
      </c>
      <c r="CQ26" s="75"/>
      <c r="CR26" s="74">
        <f t="shared" si="33"/>
        <v>0</v>
      </c>
      <c r="CS26" s="75"/>
      <c r="CT26" s="74">
        <f t="shared" si="34"/>
        <v>0</v>
      </c>
      <c r="CU26" s="75"/>
      <c r="CV26" s="74">
        <f t="shared" si="36"/>
        <v>0</v>
      </c>
      <c r="CW26" s="54">
        <v>1</v>
      </c>
      <c r="CX26" s="74">
        <f t="shared" si="37"/>
        <v>2.1314537329622366E-3</v>
      </c>
      <c r="CY26" s="54">
        <v>2</v>
      </c>
      <c r="CZ26" s="79">
        <f t="shared" si="38"/>
        <v>4.2629074659244733E-3</v>
      </c>
      <c r="DA26" s="78">
        <v>98</v>
      </c>
      <c r="DB26" s="74">
        <f t="shared" si="39"/>
        <v>0.20888246583029918</v>
      </c>
      <c r="DC26" s="179"/>
      <c r="DD26" s="54"/>
      <c r="DE26" s="54"/>
      <c r="DF26" s="54"/>
      <c r="DG26" s="54"/>
      <c r="DH26" s="54"/>
      <c r="DI26" s="54"/>
      <c r="DJ26" s="162"/>
      <c r="DK26" s="34"/>
      <c r="DL26" s="34"/>
      <c r="DM26" s="34"/>
      <c r="DN26" s="34"/>
      <c r="DO26" s="34"/>
    </row>
    <row r="27" spans="1:119" s="32" customFormat="1" ht="15" x14ac:dyDescent="0.3">
      <c r="A27" s="34"/>
      <c r="B27" s="59">
        <v>1000</v>
      </c>
      <c r="C27" s="58">
        <f t="shared" si="46"/>
        <v>0</v>
      </c>
      <c r="D27" s="114" t="s">
        <v>23</v>
      </c>
      <c r="E27" s="119">
        <f t="shared" si="52"/>
        <v>0</v>
      </c>
      <c r="F27" s="119">
        <v>0</v>
      </c>
      <c r="G27" s="35"/>
      <c r="H27" s="28"/>
      <c r="I27" s="39"/>
      <c r="J27" s="97">
        <f t="shared" si="47"/>
        <v>0</v>
      </c>
      <c r="K27" s="98">
        <f t="shared" si="48"/>
        <v>100</v>
      </c>
      <c r="L27" s="34"/>
      <c r="M27" s="60" t="s">
        <v>80</v>
      </c>
      <c r="N27" s="61" t="s">
        <v>55</v>
      </c>
      <c r="O27" s="71"/>
      <c r="P27" s="109"/>
      <c r="Q27" s="106">
        <f t="shared" si="43"/>
        <v>0</v>
      </c>
      <c r="R27" s="97">
        <f t="shared" si="49"/>
        <v>1000</v>
      </c>
      <c r="S27" s="35"/>
      <c r="T27" s="63">
        <f>SUM(CF5:CF37)</f>
        <v>0.22574834539096761</v>
      </c>
      <c r="U27" s="34"/>
      <c r="V27" s="8"/>
      <c r="W27" s="71">
        <v>0.16</v>
      </c>
      <c r="X27" s="15"/>
      <c r="Y27" s="71">
        <v>0.24</v>
      </c>
      <c r="Z27" s="10"/>
      <c r="AA27" s="34"/>
      <c r="AB27" s="143" t="s">
        <v>23</v>
      </c>
      <c r="AC27" s="134"/>
      <c r="AD27" s="42">
        <f t="shared" si="0"/>
        <v>0</v>
      </c>
      <c r="AE27" s="135"/>
      <c r="AF27" s="44">
        <f t="shared" si="1"/>
        <v>0</v>
      </c>
      <c r="AG27" s="137"/>
      <c r="AH27" s="46"/>
      <c r="AI27" s="137"/>
      <c r="AJ27" s="46"/>
      <c r="AK27" s="137"/>
      <c r="AL27" s="46"/>
      <c r="AM27" s="137"/>
      <c r="AN27" s="46">
        <f t="shared" si="5"/>
        <v>0</v>
      </c>
      <c r="AO27" s="137">
        <v>99</v>
      </c>
      <c r="AP27" s="46">
        <f t="shared" si="6"/>
        <v>0</v>
      </c>
      <c r="AQ27" s="136"/>
      <c r="AR27" s="46"/>
      <c r="AS27" s="136"/>
      <c r="AT27" s="46"/>
      <c r="AU27" s="136"/>
      <c r="AV27" s="46"/>
      <c r="AW27" s="136"/>
      <c r="AX27" s="46"/>
      <c r="AY27" s="136"/>
      <c r="AZ27" s="46"/>
      <c r="BA27" s="136"/>
      <c r="BB27" s="46"/>
      <c r="BC27" s="136"/>
      <c r="BD27" s="46"/>
      <c r="BE27" s="136"/>
      <c r="BF27" s="46"/>
      <c r="BG27" s="136"/>
      <c r="BH27" s="46"/>
      <c r="BI27" s="136"/>
      <c r="BJ27" s="46"/>
      <c r="BK27" s="136"/>
      <c r="BL27" s="46"/>
      <c r="BM27" s="136"/>
      <c r="BN27" s="136"/>
      <c r="BO27" s="46"/>
      <c r="BP27" s="136"/>
      <c r="BQ27" s="136"/>
      <c r="BR27" s="136"/>
      <c r="BS27" s="137">
        <v>37</v>
      </c>
      <c r="BT27" s="46">
        <f t="shared" si="21"/>
        <v>0</v>
      </c>
      <c r="BU27" s="136"/>
      <c r="BV27" s="46">
        <f t="shared" si="22"/>
        <v>0</v>
      </c>
      <c r="BW27" s="136"/>
      <c r="BX27" s="46">
        <f t="shared" si="23"/>
        <v>0</v>
      </c>
      <c r="BY27" s="136">
        <v>0.23</v>
      </c>
      <c r="BZ27" s="46">
        <f t="shared" si="24"/>
        <v>0</v>
      </c>
      <c r="CA27" s="136"/>
      <c r="CB27" s="46">
        <f t="shared" si="25"/>
        <v>0</v>
      </c>
      <c r="CC27" s="137"/>
      <c r="CD27" s="46">
        <f t="shared" si="26"/>
        <v>0</v>
      </c>
      <c r="CE27" s="136"/>
      <c r="CF27" s="46">
        <f t="shared" si="27"/>
        <v>0</v>
      </c>
      <c r="CG27" s="137"/>
      <c r="CH27" s="46">
        <f t="shared" si="28"/>
        <v>0</v>
      </c>
      <c r="CI27" s="137"/>
      <c r="CJ27" s="42">
        <f t="shared" si="30"/>
        <v>0</v>
      </c>
      <c r="CK27" s="136"/>
      <c r="CL27" s="46">
        <f t="shared" si="44"/>
        <v>0</v>
      </c>
      <c r="CM27" s="137"/>
      <c r="CN27" s="46">
        <f t="shared" si="31"/>
        <v>0</v>
      </c>
      <c r="CO27" s="137"/>
      <c r="CP27" s="46">
        <f t="shared" si="32"/>
        <v>0</v>
      </c>
      <c r="CQ27" s="137"/>
      <c r="CR27" s="46">
        <f t="shared" si="33"/>
        <v>0</v>
      </c>
      <c r="CS27" s="137"/>
      <c r="CT27" s="46">
        <f t="shared" si="34"/>
        <v>0</v>
      </c>
      <c r="CU27" s="137"/>
      <c r="CV27" s="46">
        <f t="shared" si="36"/>
        <v>0</v>
      </c>
      <c r="CW27" s="126">
        <v>1</v>
      </c>
      <c r="CX27" s="46">
        <f t="shared" si="37"/>
        <v>0</v>
      </c>
      <c r="CY27" s="126">
        <v>2</v>
      </c>
      <c r="CZ27" s="35">
        <f t="shared" si="38"/>
        <v>0</v>
      </c>
      <c r="DA27" s="135">
        <v>98</v>
      </c>
      <c r="DB27" s="46">
        <f t="shared" si="39"/>
        <v>0</v>
      </c>
      <c r="DC27" s="125"/>
      <c r="DD27" s="126"/>
      <c r="DE27" s="126"/>
      <c r="DF27" s="126"/>
      <c r="DG27" s="126"/>
      <c r="DH27" s="126"/>
      <c r="DI27" s="126"/>
      <c r="DJ27" s="127"/>
      <c r="DK27" s="34"/>
      <c r="DL27" s="34"/>
      <c r="DM27" s="34"/>
      <c r="DN27" s="34"/>
      <c r="DO27" s="34"/>
    </row>
    <row r="28" spans="1:119" s="32" customFormat="1" ht="15" x14ac:dyDescent="0.35">
      <c r="A28" s="34"/>
      <c r="B28" s="23">
        <v>12000</v>
      </c>
      <c r="C28" s="38">
        <f t="shared" si="46"/>
        <v>0</v>
      </c>
      <c r="D28" s="113" t="s">
        <v>103</v>
      </c>
      <c r="E28" s="161">
        <f t="shared" si="52"/>
        <v>0</v>
      </c>
      <c r="F28" s="120">
        <v>0</v>
      </c>
      <c r="G28" s="36"/>
      <c r="H28" s="158"/>
      <c r="I28" s="87"/>
      <c r="J28" s="163">
        <f t="shared" si="47"/>
        <v>0</v>
      </c>
      <c r="K28" s="164">
        <f t="shared" si="48"/>
        <v>100</v>
      </c>
      <c r="L28" s="34"/>
      <c r="M28" s="88" t="s">
        <v>62</v>
      </c>
      <c r="N28" s="89" t="s">
        <v>56</v>
      </c>
      <c r="O28" s="116"/>
      <c r="P28" s="188"/>
      <c r="Q28" s="118">
        <f t="shared" si="43"/>
        <v>0</v>
      </c>
      <c r="R28" s="163">
        <f t="shared" si="49"/>
        <v>1000</v>
      </c>
      <c r="S28" s="79"/>
      <c r="T28" s="86">
        <f>SUM(CJ5:CJ37)</f>
        <v>170.41396659974527</v>
      </c>
      <c r="U28" s="34"/>
      <c r="V28" s="8"/>
      <c r="W28" s="11"/>
      <c r="X28" s="15"/>
      <c r="Y28" s="11"/>
      <c r="Z28" s="10"/>
      <c r="AA28" s="34"/>
      <c r="AB28" s="177" t="s">
        <v>103</v>
      </c>
      <c r="AC28" s="77"/>
      <c r="AD28" s="72">
        <f t="shared" si="0"/>
        <v>0</v>
      </c>
      <c r="AE28" s="78"/>
      <c r="AF28" s="73">
        <f t="shared" si="1"/>
        <v>0</v>
      </c>
      <c r="AG28" s="75"/>
      <c r="AH28" s="74"/>
      <c r="AI28" s="75"/>
      <c r="AJ28" s="74"/>
      <c r="AK28" s="75"/>
      <c r="AL28" s="74"/>
      <c r="AM28" s="75"/>
      <c r="AN28" s="74">
        <f t="shared" si="5"/>
        <v>0</v>
      </c>
      <c r="AO28" s="75">
        <v>99</v>
      </c>
      <c r="AP28" s="74">
        <f t="shared" si="6"/>
        <v>0</v>
      </c>
      <c r="AQ28" s="75"/>
      <c r="AR28" s="74"/>
      <c r="AS28" s="75"/>
      <c r="AT28" s="74"/>
      <c r="AU28" s="75"/>
      <c r="AV28" s="74"/>
      <c r="AW28" s="75"/>
      <c r="AX28" s="74"/>
      <c r="AY28" s="75"/>
      <c r="AZ28" s="74"/>
      <c r="BA28" s="75"/>
      <c r="BB28" s="74"/>
      <c r="BC28" s="75"/>
      <c r="BD28" s="74"/>
      <c r="BE28" s="75"/>
      <c r="BF28" s="74"/>
      <c r="BG28" s="75"/>
      <c r="BH28" s="74"/>
      <c r="BI28" s="75"/>
      <c r="BJ28" s="74"/>
      <c r="BK28" s="75"/>
      <c r="BL28" s="74"/>
      <c r="BM28" s="75"/>
      <c r="BN28" s="75"/>
      <c r="BO28" s="74"/>
      <c r="BP28" s="75"/>
      <c r="BQ28" s="178"/>
      <c r="BR28" s="178"/>
      <c r="BS28" s="75"/>
      <c r="BT28" s="74">
        <f t="shared" si="21"/>
        <v>0</v>
      </c>
      <c r="BU28" s="75"/>
      <c r="BV28" s="74">
        <f t="shared" si="22"/>
        <v>0</v>
      </c>
      <c r="BW28" s="75"/>
      <c r="BX28" s="74">
        <f t="shared" si="23"/>
        <v>0</v>
      </c>
      <c r="BY28" s="75"/>
      <c r="BZ28" s="74">
        <f t="shared" si="24"/>
        <v>0</v>
      </c>
      <c r="CA28" s="75">
        <v>27</v>
      </c>
      <c r="CB28" s="74">
        <f t="shared" si="25"/>
        <v>0</v>
      </c>
      <c r="CC28" s="75"/>
      <c r="CD28" s="74">
        <f t="shared" si="26"/>
        <v>0</v>
      </c>
      <c r="CE28" s="75"/>
      <c r="CF28" s="74">
        <f t="shared" si="27"/>
        <v>0</v>
      </c>
      <c r="CG28" s="75"/>
      <c r="CH28" s="74">
        <f t="shared" si="28"/>
        <v>0</v>
      </c>
      <c r="CI28" s="77">
        <f>(CA28*435)+(CC28*256)-(CE28*282)</f>
        <v>11745</v>
      </c>
      <c r="CJ28" s="72">
        <f t="shared" si="30"/>
        <v>0</v>
      </c>
      <c r="CK28" s="75"/>
      <c r="CL28" s="74">
        <f t="shared" si="44"/>
        <v>0</v>
      </c>
      <c r="CM28" s="75"/>
      <c r="CN28" s="74">
        <f t="shared" si="31"/>
        <v>0</v>
      </c>
      <c r="CO28" s="75"/>
      <c r="CP28" s="74">
        <f t="shared" si="32"/>
        <v>0</v>
      </c>
      <c r="CQ28" s="75"/>
      <c r="CR28" s="74">
        <f t="shared" si="33"/>
        <v>0</v>
      </c>
      <c r="CS28" s="75"/>
      <c r="CT28" s="74">
        <f t="shared" si="34"/>
        <v>0</v>
      </c>
      <c r="CU28" s="75"/>
      <c r="CV28" s="74">
        <f t="shared" si="36"/>
        <v>0</v>
      </c>
      <c r="CW28" s="54">
        <v>1</v>
      </c>
      <c r="CX28" s="74">
        <f t="shared" si="37"/>
        <v>0</v>
      </c>
      <c r="CY28" s="54">
        <v>2</v>
      </c>
      <c r="CZ28" s="79">
        <f t="shared" si="38"/>
        <v>0</v>
      </c>
      <c r="DA28" s="78">
        <v>98</v>
      </c>
      <c r="DB28" s="74">
        <f t="shared" si="39"/>
        <v>0</v>
      </c>
      <c r="DC28" s="179"/>
      <c r="DD28" s="54"/>
      <c r="DE28" s="54"/>
      <c r="DF28" s="54"/>
      <c r="DG28" s="54"/>
      <c r="DH28" s="54"/>
      <c r="DI28" s="54"/>
      <c r="DJ28" s="162"/>
      <c r="DK28" s="34"/>
      <c r="DL28" s="34"/>
      <c r="DM28" s="34"/>
      <c r="DN28" s="34"/>
      <c r="DO28" s="34"/>
    </row>
    <row r="29" spans="1:119" s="32" customFormat="1" ht="15" x14ac:dyDescent="0.35">
      <c r="A29" s="34"/>
      <c r="B29" s="59">
        <v>40000</v>
      </c>
      <c r="C29" s="58">
        <f t="shared" si="46"/>
        <v>26.071866145869283</v>
      </c>
      <c r="D29" s="114" t="s">
        <v>134</v>
      </c>
      <c r="E29" s="119">
        <f t="shared" si="52"/>
        <v>0.65179665364673589</v>
      </c>
      <c r="F29" s="119">
        <v>6.5179665364673206E-2</v>
      </c>
      <c r="G29" s="35"/>
      <c r="H29" s="28"/>
      <c r="I29" s="39"/>
      <c r="J29" s="97">
        <f t="shared" si="47"/>
        <v>0</v>
      </c>
      <c r="K29" s="98">
        <f t="shared" si="48"/>
        <v>100</v>
      </c>
      <c r="L29" s="34"/>
      <c r="M29" s="60" t="s">
        <v>81</v>
      </c>
      <c r="N29" s="61" t="s">
        <v>61</v>
      </c>
      <c r="O29" s="71"/>
      <c r="P29" s="109"/>
      <c r="Q29" s="106">
        <f t="shared" si="43"/>
        <v>0</v>
      </c>
      <c r="R29" s="97">
        <f t="shared" si="49"/>
        <v>1000</v>
      </c>
      <c r="S29" s="35"/>
      <c r="T29" s="63">
        <f>SUM(CL5:CL37)</f>
        <v>2.3927639312457005</v>
      </c>
      <c r="U29" s="34"/>
      <c r="V29" s="8"/>
      <c r="W29" s="71"/>
      <c r="X29" s="15"/>
      <c r="Y29" s="71"/>
      <c r="Z29" s="10"/>
      <c r="AA29" s="34"/>
      <c r="AB29" s="143" t="s">
        <v>134</v>
      </c>
      <c r="AC29" s="43"/>
      <c r="AD29" s="42">
        <f t="shared" si="0"/>
        <v>0</v>
      </c>
      <c r="AE29" s="45"/>
      <c r="AF29" s="44">
        <f t="shared" si="1"/>
        <v>0</v>
      </c>
      <c r="AG29" s="47"/>
      <c r="AH29" s="46"/>
      <c r="AI29" s="47"/>
      <c r="AJ29" s="46"/>
      <c r="AK29" s="47"/>
      <c r="AL29" s="46"/>
      <c r="AM29" s="47"/>
      <c r="AN29" s="46">
        <f t="shared" si="5"/>
        <v>0</v>
      </c>
      <c r="AO29" s="47">
        <v>99</v>
      </c>
      <c r="AP29" s="46">
        <f t="shared" si="6"/>
        <v>6.4527868711026476E-2</v>
      </c>
      <c r="AQ29" s="47"/>
      <c r="AR29" s="46"/>
      <c r="AS29" s="47"/>
      <c r="AT29" s="46"/>
      <c r="AU29" s="47"/>
      <c r="AV29" s="46"/>
      <c r="AW29" s="47"/>
      <c r="AX29" s="46"/>
      <c r="AY29" s="47"/>
      <c r="AZ29" s="46"/>
      <c r="BA29" s="47"/>
      <c r="BB29" s="46"/>
      <c r="BC29" s="47"/>
      <c r="BD29" s="46"/>
      <c r="BE29" s="47"/>
      <c r="BF29" s="46"/>
      <c r="BG29" s="47"/>
      <c r="BH29" s="46"/>
      <c r="BI29" s="47"/>
      <c r="BJ29" s="46"/>
      <c r="BK29" s="47"/>
      <c r="BL29" s="46"/>
      <c r="BM29" s="47"/>
      <c r="BN29" s="47"/>
      <c r="BO29" s="46"/>
      <c r="BP29" s="47"/>
      <c r="BQ29" s="48"/>
      <c r="BR29" s="48"/>
      <c r="BS29" s="47"/>
      <c r="BT29" s="46">
        <f t="shared" si="21"/>
        <v>0</v>
      </c>
      <c r="BU29" s="47"/>
      <c r="BV29" s="46">
        <f t="shared" si="22"/>
        <v>0</v>
      </c>
      <c r="BW29" s="47"/>
      <c r="BX29" s="46">
        <f t="shared" si="23"/>
        <v>0</v>
      </c>
      <c r="BY29" s="47"/>
      <c r="BZ29" s="46">
        <f t="shared" si="24"/>
        <v>0</v>
      </c>
      <c r="CA29" s="47"/>
      <c r="CB29" s="46">
        <f t="shared" si="25"/>
        <v>0</v>
      </c>
      <c r="CC29" s="47">
        <v>56.5</v>
      </c>
      <c r="CD29" s="46">
        <f t="shared" si="26"/>
        <v>3.6826510931040356E-2</v>
      </c>
      <c r="CE29" s="47"/>
      <c r="CF29" s="46">
        <f t="shared" si="27"/>
        <v>0</v>
      </c>
      <c r="CG29" s="47"/>
      <c r="CH29" s="46">
        <f t="shared" si="28"/>
        <v>0</v>
      </c>
      <c r="CI29" s="43">
        <f>(CA29*435)+(CC29*256)-(CE29*282)</f>
        <v>14464</v>
      </c>
      <c r="CJ29" s="42">
        <f t="shared" si="30"/>
        <v>9.4275867983463311</v>
      </c>
      <c r="CK29" s="47"/>
      <c r="CL29" s="46">
        <f t="shared" si="44"/>
        <v>0</v>
      </c>
      <c r="CM29" s="47"/>
      <c r="CN29" s="46">
        <f t="shared" si="31"/>
        <v>0</v>
      </c>
      <c r="CO29" s="47"/>
      <c r="CP29" s="46">
        <f t="shared" si="32"/>
        <v>0</v>
      </c>
      <c r="CQ29" s="47"/>
      <c r="CR29" s="46">
        <f t="shared" si="33"/>
        <v>0</v>
      </c>
      <c r="CS29" s="47"/>
      <c r="CT29" s="46">
        <f t="shared" si="34"/>
        <v>0</v>
      </c>
      <c r="CU29" s="47"/>
      <c r="CV29" s="46">
        <f t="shared" si="36"/>
        <v>0</v>
      </c>
      <c r="CW29" s="28">
        <v>1</v>
      </c>
      <c r="CX29" s="46">
        <f t="shared" si="37"/>
        <v>6.5179665364673207E-4</v>
      </c>
      <c r="CY29" s="28">
        <v>2</v>
      </c>
      <c r="CZ29" s="35">
        <f t="shared" si="38"/>
        <v>1.3035933072934641E-3</v>
      </c>
      <c r="DA29" s="45">
        <v>98</v>
      </c>
      <c r="DB29" s="46">
        <f t="shared" si="39"/>
        <v>6.3876072057379746E-2</v>
      </c>
      <c r="DC29" s="145"/>
      <c r="DD29" s="28"/>
      <c r="DE29" s="28"/>
      <c r="DF29" s="28"/>
      <c r="DG29" s="28"/>
      <c r="DH29" s="28"/>
      <c r="DI29" s="28"/>
      <c r="DJ29" s="39"/>
      <c r="DK29" s="34"/>
      <c r="DL29" s="34"/>
      <c r="DM29" s="34"/>
      <c r="DN29" s="34"/>
      <c r="DO29" s="34"/>
    </row>
    <row r="30" spans="1:119" s="32" customFormat="1" ht="15" x14ac:dyDescent="0.35">
      <c r="A30" s="34"/>
      <c r="B30" s="159">
        <v>1000</v>
      </c>
      <c r="C30" s="38">
        <f t="shared" si="46"/>
        <v>1.0301485511335726</v>
      </c>
      <c r="D30" s="160" t="s">
        <v>100</v>
      </c>
      <c r="E30" s="161">
        <f t="shared" si="52"/>
        <v>1.0301485511335786</v>
      </c>
      <c r="F30" s="161">
        <v>0.10301485511335726</v>
      </c>
      <c r="G30" s="79"/>
      <c r="H30" s="54"/>
      <c r="I30" s="162"/>
      <c r="J30" s="163">
        <f t="shared" si="47"/>
        <v>0</v>
      </c>
      <c r="K30" s="164">
        <f t="shared" si="48"/>
        <v>100</v>
      </c>
      <c r="L30" s="34"/>
      <c r="M30" s="88" t="s">
        <v>82</v>
      </c>
      <c r="N30" s="89" t="s">
        <v>55</v>
      </c>
      <c r="O30" s="199"/>
      <c r="P30" s="188"/>
      <c r="Q30" s="117">
        <f t="shared" si="43"/>
        <v>0</v>
      </c>
      <c r="R30" s="99">
        <f t="shared" si="49"/>
        <v>1000</v>
      </c>
      <c r="S30" s="79"/>
      <c r="T30" s="86">
        <f>SUM(CN5:CN37)</f>
        <v>4.1591113928747818</v>
      </c>
      <c r="U30" s="34"/>
      <c r="V30" s="8"/>
      <c r="W30" s="198"/>
      <c r="X30" s="90"/>
      <c r="Y30" s="198"/>
      <c r="Z30" s="10"/>
      <c r="AA30" s="34"/>
      <c r="AB30" s="177" t="s">
        <v>100</v>
      </c>
      <c r="AC30" s="77"/>
      <c r="AD30" s="72">
        <f t="shared" si="0"/>
        <v>0</v>
      </c>
      <c r="AE30" s="78"/>
      <c r="AF30" s="73">
        <f t="shared" si="1"/>
        <v>0</v>
      </c>
      <c r="AG30" s="75"/>
      <c r="AH30" s="74"/>
      <c r="AI30" s="75"/>
      <c r="AJ30" s="74"/>
      <c r="AK30" s="75"/>
      <c r="AL30" s="74"/>
      <c r="AM30" s="75"/>
      <c r="AN30" s="74">
        <f t="shared" si="5"/>
        <v>0</v>
      </c>
      <c r="AO30" s="75">
        <v>99</v>
      </c>
      <c r="AP30" s="74">
        <f t="shared" si="6"/>
        <v>0.10198470656222368</v>
      </c>
      <c r="AQ30" s="75"/>
      <c r="AR30" s="74"/>
      <c r="AS30" s="75"/>
      <c r="AT30" s="74"/>
      <c r="AU30" s="75"/>
      <c r="AV30" s="74"/>
      <c r="AW30" s="75"/>
      <c r="AX30" s="74"/>
      <c r="AY30" s="75"/>
      <c r="AZ30" s="74"/>
      <c r="BA30" s="75"/>
      <c r="BB30" s="74"/>
      <c r="BC30" s="75"/>
      <c r="BD30" s="74"/>
      <c r="BE30" s="75"/>
      <c r="BF30" s="74"/>
      <c r="BG30" s="75"/>
      <c r="BH30" s="74"/>
      <c r="BI30" s="75"/>
      <c r="BJ30" s="74"/>
      <c r="BK30" s="75"/>
      <c r="BL30" s="74"/>
      <c r="BM30" s="75"/>
      <c r="BN30" s="75"/>
      <c r="BO30" s="74"/>
      <c r="BP30" s="75"/>
      <c r="BQ30" s="178"/>
      <c r="BR30" s="178"/>
      <c r="BS30" s="75"/>
      <c r="BT30" s="74">
        <f t="shared" si="21"/>
        <v>0</v>
      </c>
      <c r="BU30" s="75"/>
      <c r="BV30" s="74">
        <f t="shared" si="22"/>
        <v>0</v>
      </c>
      <c r="BW30" s="75"/>
      <c r="BX30" s="74">
        <f t="shared" si="23"/>
        <v>0</v>
      </c>
      <c r="BY30" s="75"/>
      <c r="BZ30" s="74">
        <f t="shared" si="24"/>
        <v>0</v>
      </c>
      <c r="CA30" s="75">
        <v>39</v>
      </c>
      <c r="CB30" s="74">
        <f t="shared" si="25"/>
        <v>4.0175793494209334E-2</v>
      </c>
      <c r="CC30" s="75"/>
      <c r="CD30" s="74">
        <f t="shared" si="26"/>
        <v>0</v>
      </c>
      <c r="CE30" s="75">
        <v>60</v>
      </c>
      <c r="CF30" s="74">
        <f t="shared" si="27"/>
        <v>6.1808913068014351E-2</v>
      </c>
      <c r="CG30" s="75"/>
      <c r="CH30" s="74">
        <f t="shared" si="28"/>
        <v>0</v>
      </c>
      <c r="CI30" s="77">
        <f>(CA30*435)+(CC30*256)-(CE30*282)</f>
        <v>45</v>
      </c>
      <c r="CJ30" s="72">
        <f t="shared" si="30"/>
        <v>4.6356684801010767E-2</v>
      </c>
      <c r="CK30" s="75"/>
      <c r="CL30" s="74">
        <f t="shared" si="44"/>
        <v>0</v>
      </c>
      <c r="CM30" s="75"/>
      <c r="CN30" s="74">
        <f t="shared" si="31"/>
        <v>0</v>
      </c>
      <c r="CO30" s="75"/>
      <c r="CP30" s="74">
        <f t="shared" si="32"/>
        <v>0</v>
      </c>
      <c r="CQ30" s="75"/>
      <c r="CR30" s="74">
        <f t="shared" si="33"/>
        <v>0</v>
      </c>
      <c r="CS30" s="75"/>
      <c r="CT30" s="74">
        <f t="shared" si="34"/>
        <v>0</v>
      </c>
      <c r="CU30" s="75"/>
      <c r="CV30" s="74">
        <f t="shared" si="36"/>
        <v>0</v>
      </c>
      <c r="CW30" s="54">
        <v>1</v>
      </c>
      <c r="CX30" s="74">
        <f t="shared" si="37"/>
        <v>1.0301485511335726E-3</v>
      </c>
      <c r="CY30" s="54">
        <v>2</v>
      </c>
      <c r="CZ30" s="79">
        <f t="shared" si="38"/>
        <v>2.0602971022671453E-3</v>
      </c>
      <c r="DA30" s="78">
        <v>98</v>
      </c>
      <c r="DB30" s="74">
        <f t="shared" si="39"/>
        <v>0.10095455801109011</v>
      </c>
      <c r="DC30" s="179"/>
      <c r="DD30" s="54"/>
      <c r="DE30" s="54"/>
      <c r="DF30" s="54"/>
      <c r="DG30" s="54"/>
      <c r="DH30" s="54"/>
      <c r="DI30" s="54"/>
      <c r="DJ30" s="162"/>
      <c r="DK30" s="34"/>
      <c r="DL30" s="34"/>
      <c r="DM30" s="34"/>
      <c r="DN30" s="34"/>
      <c r="DO30" s="34"/>
    </row>
    <row r="31" spans="1:119" s="32" customFormat="1" ht="15" x14ac:dyDescent="0.35">
      <c r="A31" s="34"/>
      <c r="B31" s="59">
        <v>90000</v>
      </c>
      <c r="C31" s="58">
        <f t="shared" si="46"/>
        <v>900</v>
      </c>
      <c r="D31" s="114" t="s">
        <v>117</v>
      </c>
      <c r="E31" s="119">
        <f t="shared" si="52"/>
        <v>10.000000000000059</v>
      </c>
      <c r="F31" s="119">
        <v>1</v>
      </c>
      <c r="G31" s="35"/>
      <c r="H31" s="28">
        <v>1</v>
      </c>
      <c r="I31" s="39"/>
      <c r="J31" s="97">
        <f t="shared" si="47"/>
        <v>1</v>
      </c>
      <c r="K31" s="98">
        <f t="shared" si="48"/>
        <v>100</v>
      </c>
      <c r="L31" s="34"/>
      <c r="M31" s="60" t="s">
        <v>84</v>
      </c>
      <c r="N31" s="61" t="s">
        <v>55</v>
      </c>
      <c r="O31" s="71"/>
      <c r="P31" s="109"/>
      <c r="Q31" s="106">
        <f>IF((O31)="",0,(O31))</f>
        <v>0</v>
      </c>
      <c r="R31" s="97">
        <f>IF((P31)="",1000,(P31))</f>
        <v>1000</v>
      </c>
      <c r="S31" s="35"/>
      <c r="T31" s="63">
        <f>SUM(AP5:AP37)</f>
        <v>7.2690540314859087</v>
      </c>
      <c r="U31" s="34"/>
      <c r="V31" s="8"/>
      <c r="W31" s="71"/>
      <c r="X31" s="15"/>
      <c r="Y31" s="71"/>
      <c r="Z31" s="10"/>
      <c r="AA31" s="34"/>
      <c r="AB31" s="143" t="s">
        <v>101</v>
      </c>
      <c r="AC31" s="43"/>
      <c r="AD31" s="42">
        <f t="shared" si="0"/>
        <v>0</v>
      </c>
      <c r="AE31" s="45"/>
      <c r="AF31" s="44">
        <f t="shared" si="1"/>
        <v>0</v>
      </c>
      <c r="AG31" s="47"/>
      <c r="AH31" s="46"/>
      <c r="AI31" s="47"/>
      <c r="AJ31" s="46"/>
      <c r="AK31" s="47"/>
      <c r="AL31" s="46"/>
      <c r="AM31" s="47">
        <v>4</v>
      </c>
      <c r="AN31" s="46">
        <f t="shared" si="5"/>
        <v>0.04</v>
      </c>
      <c r="AO31" s="47">
        <v>35</v>
      </c>
      <c r="AP31" s="46">
        <f t="shared" si="6"/>
        <v>0.35</v>
      </c>
      <c r="AQ31" s="47"/>
      <c r="AR31" s="46"/>
      <c r="AS31" s="47"/>
      <c r="AT31" s="46"/>
      <c r="AU31" s="47"/>
      <c r="AV31" s="46"/>
      <c r="AW31" s="47"/>
      <c r="AX31" s="46"/>
      <c r="AY31" s="47"/>
      <c r="AZ31" s="46"/>
      <c r="BA31" s="47"/>
      <c r="BB31" s="46"/>
      <c r="BC31" s="47"/>
      <c r="BD31" s="46"/>
      <c r="BE31" s="47"/>
      <c r="BF31" s="46"/>
      <c r="BG31" s="47"/>
      <c r="BH31" s="46"/>
      <c r="BI31" s="47"/>
      <c r="BJ31" s="46"/>
      <c r="BK31" s="47"/>
      <c r="BL31" s="46"/>
      <c r="BM31" s="47"/>
      <c r="BN31" s="47"/>
      <c r="BO31" s="46"/>
      <c r="BP31" s="47"/>
      <c r="BQ31" s="48"/>
      <c r="BR31" s="48"/>
      <c r="BS31" s="47">
        <v>12.5</v>
      </c>
      <c r="BT31" s="46">
        <f t="shared" si="21"/>
        <v>0.125</v>
      </c>
      <c r="BU31" s="47"/>
      <c r="BV31" s="46">
        <f t="shared" si="22"/>
        <v>0</v>
      </c>
      <c r="BW31" s="47"/>
      <c r="BX31" s="46">
        <f t="shared" si="23"/>
        <v>0</v>
      </c>
      <c r="BY31" s="47"/>
      <c r="BZ31" s="46">
        <f t="shared" si="24"/>
        <v>0</v>
      </c>
      <c r="CA31" s="47"/>
      <c r="CB31" s="46">
        <f t="shared" si="25"/>
        <v>0</v>
      </c>
      <c r="CC31" s="47"/>
      <c r="CD31" s="46">
        <f t="shared" si="26"/>
        <v>0</v>
      </c>
      <c r="CE31" s="47"/>
      <c r="CF31" s="46">
        <f t="shared" si="27"/>
        <v>0</v>
      </c>
      <c r="CG31" s="47">
        <v>2.5</v>
      </c>
      <c r="CH31" s="46">
        <f t="shared" si="28"/>
        <v>2.5000000000000001E-2</v>
      </c>
      <c r="CI31" s="43"/>
      <c r="CJ31" s="42">
        <f t="shared" si="30"/>
        <v>0</v>
      </c>
      <c r="CK31" s="47"/>
      <c r="CL31" s="46">
        <f t="shared" si="44"/>
        <v>0</v>
      </c>
      <c r="CM31" s="47"/>
      <c r="CN31" s="46">
        <f t="shared" si="31"/>
        <v>0</v>
      </c>
      <c r="CO31" s="47"/>
      <c r="CP31" s="46">
        <f t="shared" si="32"/>
        <v>0</v>
      </c>
      <c r="CQ31" s="47"/>
      <c r="CR31" s="46">
        <f t="shared" si="33"/>
        <v>0</v>
      </c>
      <c r="CS31" s="47"/>
      <c r="CT31" s="46">
        <f t="shared" si="34"/>
        <v>0</v>
      </c>
      <c r="CU31" s="47"/>
      <c r="CV31" s="46">
        <f t="shared" si="36"/>
        <v>0</v>
      </c>
      <c r="CW31" s="28">
        <v>1</v>
      </c>
      <c r="CX31" s="46">
        <f t="shared" si="37"/>
        <v>0.01</v>
      </c>
      <c r="CY31" s="28">
        <v>2</v>
      </c>
      <c r="CZ31" s="35">
        <f t="shared" si="38"/>
        <v>0.02</v>
      </c>
      <c r="DA31" s="45">
        <v>98</v>
      </c>
      <c r="DB31" s="46">
        <f t="shared" si="39"/>
        <v>0.98</v>
      </c>
      <c r="DC31" s="145"/>
      <c r="DD31" s="28"/>
      <c r="DE31" s="28"/>
      <c r="DF31" s="28"/>
      <c r="DG31" s="28"/>
      <c r="DH31" s="28"/>
      <c r="DI31" s="28"/>
      <c r="DJ31" s="39"/>
      <c r="DK31" s="34"/>
      <c r="DL31" s="34"/>
      <c r="DM31" s="34"/>
      <c r="DN31" s="34"/>
      <c r="DO31" s="34"/>
    </row>
    <row r="32" spans="1:119" s="32" customFormat="1" ht="15" x14ac:dyDescent="0.35">
      <c r="A32" s="34"/>
      <c r="B32" s="23">
        <v>30000</v>
      </c>
      <c r="C32" s="38">
        <f t="shared" si="46"/>
        <v>90</v>
      </c>
      <c r="D32" s="113" t="s">
        <v>135</v>
      </c>
      <c r="E32" s="161">
        <f>F32*$E$4/$F$38</f>
        <v>3.0000000000000173</v>
      </c>
      <c r="F32" s="120">
        <v>0.3</v>
      </c>
      <c r="G32" s="36"/>
      <c r="H32" s="158">
        <v>0.3</v>
      </c>
      <c r="I32" s="87"/>
      <c r="J32" s="99">
        <f t="shared" si="47"/>
        <v>0.3</v>
      </c>
      <c r="K32" s="100">
        <f t="shared" si="48"/>
        <v>100</v>
      </c>
      <c r="L32" s="34"/>
      <c r="M32" s="1"/>
      <c r="N32" s="27"/>
      <c r="O32" s="12"/>
      <c r="P32" s="110"/>
      <c r="Q32" s="117"/>
      <c r="R32" s="99"/>
      <c r="S32" s="36"/>
      <c r="T32" s="86"/>
      <c r="U32" s="34"/>
      <c r="V32" s="8"/>
      <c r="W32" s="12"/>
      <c r="X32" s="15"/>
      <c r="Y32" s="12"/>
      <c r="Z32" s="10"/>
      <c r="AA32" s="34"/>
      <c r="AB32" s="144" t="s">
        <v>135</v>
      </c>
      <c r="AC32" s="49"/>
      <c r="AD32" s="72">
        <f t="shared" si="0"/>
        <v>0</v>
      </c>
      <c r="AE32" s="50"/>
      <c r="AF32" s="73">
        <f t="shared" si="1"/>
        <v>0</v>
      </c>
      <c r="AG32" s="75"/>
      <c r="AH32" s="74"/>
      <c r="AI32" s="75"/>
      <c r="AJ32" s="74"/>
      <c r="AK32" s="75"/>
      <c r="AL32" s="74"/>
      <c r="AM32" s="51"/>
      <c r="AN32" s="74">
        <f t="shared" si="5"/>
        <v>0</v>
      </c>
      <c r="AO32" s="75"/>
      <c r="AP32" s="74">
        <f t="shared" si="6"/>
        <v>0</v>
      </c>
      <c r="AQ32" s="51"/>
      <c r="AR32" s="131"/>
      <c r="AS32" s="51"/>
      <c r="AT32" s="131"/>
      <c r="AU32" s="51"/>
      <c r="AV32" s="131"/>
      <c r="AW32" s="51"/>
      <c r="AX32" s="131"/>
      <c r="AY32" s="51"/>
      <c r="AZ32" s="131"/>
      <c r="BA32" s="51"/>
      <c r="BB32" s="131"/>
      <c r="BC32" s="51"/>
      <c r="BD32" s="131"/>
      <c r="BE32" s="51"/>
      <c r="BF32" s="131"/>
      <c r="BG32" s="51"/>
      <c r="BH32" s="131"/>
      <c r="BI32" s="51"/>
      <c r="BJ32" s="131"/>
      <c r="BK32" s="51"/>
      <c r="BL32" s="131"/>
      <c r="BM32" s="51"/>
      <c r="BN32" s="51"/>
      <c r="BO32" s="131"/>
      <c r="BP32" s="51"/>
      <c r="BQ32" s="52"/>
      <c r="BR32" s="52"/>
      <c r="BS32" s="51"/>
      <c r="BT32" s="74">
        <f t="shared" si="21"/>
        <v>0</v>
      </c>
      <c r="BU32" s="51"/>
      <c r="BV32" s="74">
        <f t="shared" si="22"/>
        <v>0</v>
      </c>
      <c r="BW32" s="51"/>
      <c r="BX32" s="74">
        <f t="shared" si="23"/>
        <v>0</v>
      </c>
      <c r="BY32" s="75"/>
      <c r="BZ32" s="74">
        <f t="shared" si="24"/>
        <v>0</v>
      </c>
      <c r="CA32" s="75"/>
      <c r="CB32" s="74">
        <f t="shared" si="25"/>
        <v>0</v>
      </c>
      <c r="CC32" s="75"/>
      <c r="CD32" s="74">
        <f t="shared" si="26"/>
        <v>0</v>
      </c>
      <c r="CE32" s="75"/>
      <c r="CF32" s="74">
        <f t="shared" si="27"/>
        <v>0</v>
      </c>
      <c r="CG32" s="75"/>
      <c r="CH32" s="74">
        <f t="shared" si="28"/>
        <v>0</v>
      </c>
      <c r="CI32" s="77"/>
      <c r="CJ32" s="72">
        <f t="shared" si="30"/>
        <v>0</v>
      </c>
      <c r="CK32" s="75"/>
      <c r="CL32" s="74">
        <f t="shared" si="44"/>
        <v>0</v>
      </c>
      <c r="CM32" s="75"/>
      <c r="CN32" s="74">
        <f t="shared" si="31"/>
        <v>0</v>
      </c>
      <c r="CO32" s="75"/>
      <c r="CP32" s="74">
        <f t="shared" si="32"/>
        <v>0</v>
      </c>
      <c r="CQ32" s="75"/>
      <c r="CR32" s="74">
        <f t="shared" si="33"/>
        <v>0</v>
      </c>
      <c r="CS32" s="51"/>
      <c r="CT32" s="131">
        <f t="shared" si="34"/>
        <v>0</v>
      </c>
      <c r="CU32" s="51"/>
      <c r="CV32" s="131">
        <f t="shared" si="36"/>
        <v>0</v>
      </c>
      <c r="CW32" s="158">
        <v>1</v>
      </c>
      <c r="CX32" s="74">
        <f t="shared" si="37"/>
        <v>3.0000000000000001E-3</v>
      </c>
      <c r="CY32" s="54">
        <v>2</v>
      </c>
      <c r="CZ32" s="79">
        <f t="shared" si="38"/>
        <v>6.0000000000000001E-3</v>
      </c>
      <c r="DA32" s="50">
        <v>98</v>
      </c>
      <c r="DB32" s="74">
        <f t="shared" si="39"/>
        <v>0.29399999999999998</v>
      </c>
      <c r="DC32" s="146"/>
      <c r="DD32" s="158"/>
      <c r="DE32" s="158"/>
      <c r="DF32" s="158"/>
      <c r="DG32" s="158"/>
      <c r="DH32" s="158"/>
      <c r="DI32" s="158"/>
      <c r="DJ32" s="87"/>
      <c r="DK32" s="34"/>
      <c r="DL32" s="34"/>
      <c r="DM32" s="34"/>
      <c r="DN32" s="34"/>
      <c r="DO32" s="34"/>
    </row>
    <row r="33" spans="1:119" s="32" customFormat="1" ht="15" x14ac:dyDescent="0.35">
      <c r="A33" s="34"/>
      <c r="B33" s="59">
        <v>300000</v>
      </c>
      <c r="C33" s="58">
        <f t="shared" si="46"/>
        <v>300</v>
      </c>
      <c r="D33" s="114" t="s">
        <v>136</v>
      </c>
      <c r="E33" s="119">
        <f t="shared" ref="E33" si="53">F33*$E$4/$F$38</f>
        <v>1.0000000000000058</v>
      </c>
      <c r="F33" s="119">
        <v>0.1</v>
      </c>
      <c r="G33" s="35"/>
      <c r="H33" s="28">
        <v>0.1</v>
      </c>
      <c r="I33" s="39"/>
      <c r="J33" s="97">
        <f t="shared" si="47"/>
        <v>0.1</v>
      </c>
      <c r="K33" s="98">
        <f t="shared" si="48"/>
        <v>100</v>
      </c>
      <c r="L33" s="34"/>
      <c r="M33" s="60"/>
      <c r="N33" s="61"/>
      <c r="O33" s="71"/>
      <c r="P33" s="109"/>
      <c r="Q33" s="106"/>
      <c r="R33" s="97"/>
      <c r="S33" s="35"/>
      <c r="T33" s="63"/>
      <c r="U33" s="34"/>
      <c r="V33" s="8"/>
      <c r="W33" s="71"/>
      <c r="X33" s="15"/>
      <c r="Y33" s="71"/>
      <c r="Z33" s="10"/>
      <c r="AA33" s="34"/>
      <c r="AB33" s="143" t="s">
        <v>136</v>
      </c>
      <c r="AC33" s="43"/>
      <c r="AD33" s="42">
        <f t="shared" si="0"/>
        <v>0</v>
      </c>
      <c r="AE33" s="45"/>
      <c r="AF33" s="44">
        <f t="shared" si="1"/>
        <v>0</v>
      </c>
      <c r="AG33" s="47"/>
      <c r="AH33" s="46"/>
      <c r="AI33" s="47"/>
      <c r="AJ33" s="46"/>
      <c r="AK33" s="47"/>
      <c r="AL33" s="46"/>
      <c r="AM33" s="47"/>
      <c r="AN33" s="46">
        <f t="shared" si="5"/>
        <v>0</v>
      </c>
      <c r="AO33" s="47"/>
      <c r="AP33" s="46">
        <f t="shared" si="6"/>
        <v>0</v>
      </c>
      <c r="AQ33" s="47"/>
      <c r="AR33" s="46"/>
      <c r="AS33" s="47"/>
      <c r="AT33" s="46"/>
      <c r="AU33" s="47"/>
      <c r="AV33" s="46"/>
      <c r="AW33" s="47"/>
      <c r="AX33" s="46"/>
      <c r="AY33" s="47"/>
      <c r="AZ33" s="46"/>
      <c r="BA33" s="47"/>
      <c r="BB33" s="46"/>
      <c r="BC33" s="47"/>
      <c r="BD33" s="46"/>
      <c r="BE33" s="47"/>
      <c r="BF33" s="46"/>
      <c r="BG33" s="47"/>
      <c r="BH33" s="46"/>
      <c r="BI33" s="47"/>
      <c r="BJ33" s="46"/>
      <c r="BK33" s="47"/>
      <c r="BL33" s="46"/>
      <c r="BM33" s="47"/>
      <c r="BN33" s="47"/>
      <c r="BO33" s="46"/>
      <c r="BP33" s="47"/>
      <c r="BQ33" s="48"/>
      <c r="BR33" s="48"/>
      <c r="BS33" s="47"/>
      <c r="BT33" s="46">
        <f t="shared" si="21"/>
        <v>0</v>
      </c>
      <c r="BU33" s="47"/>
      <c r="BV33" s="46">
        <f t="shared" si="22"/>
        <v>0</v>
      </c>
      <c r="BW33" s="47"/>
      <c r="BX33" s="46">
        <f t="shared" si="23"/>
        <v>0</v>
      </c>
      <c r="BY33" s="47"/>
      <c r="BZ33" s="46">
        <f t="shared" si="24"/>
        <v>0</v>
      </c>
      <c r="CA33" s="47"/>
      <c r="CB33" s="46">
        <f t="shared" si="25"/>
        <v>0</v>
      </c>
      <c r="CC33" s="47"/>
      <c r="CD33" s="46">
        <f t="shared" si="26"/>
        <v>0</v>
      </c>
      <c r="CE33" s="47"/>
      <c r="CF33" s="46">
        <f t="shared" si="27"/>
        <v>0</v>
      </c>
      <c r="CG33" s="47"/>
      <c r="CH33" s="46">
        <f t="shared" si="28"/>
        <v>0</v>
      </c>
      <c r="CI33" s="43"/>
      <c r="CJ33" s="42">
        <f t="shared" si="30"/>
        <v>0</v>
      </c>
      <c r="CK33" s="47"/>
      <c r="CL33" s="46">
        <f t="shared" si="44"/>
        <v>0</v>
      </c>
      <c r="CM33" s="47"/>
      <c r="CN33" s="46">
        <f t="shared" si="31"/>
        <v>0</v>
      </c>
      <c r="CO33" s="47"/>
      <c r="CP33" s="46">
        <f t="shared" si="32"/>
        <v>0</v>
      </c>
      <c r="CQ33" s="47"/>
      <c r="CR33" s="46">
        <f t="shared" si="33"/>
        <v>0</v>
      </c>
      <c r="CS33" s="47"/>
      <c r="CT33" s="46">
        <f t="shared" si="34"/>
        <v>0</v>
      </c>
      <c r="CU33" s="47"/>
      <c r="CV33" s="46">
        <f t="shared" si="36"/>
        <v>0</v>
      </c>
      <c r="CW33" s="28">
        <v>1</v>
      </c>
      <c r="CX33" s="46">
        <f t="shared" si="37"/>
        <v>1E-3</v>
      </c>
      <c r="CY33" s="28">
        <v>2</v>
      </c>
      <c r="CZ33" s="35">
        <f t="shared" si="38"/>
        <v>2E-3</v>
      </c>
      <c r="DA33" s="45">
        <v>98</v>
      </c>
      <c r="DB33" s="46">
        <f t="shared" si="39"/>
        <v>9.8000000000000004E-2</v>
      </c>
      <c r="DC33" s="145"/>
      <c r="DD33" s="28"/>
      <c r="DE33" s="28"/>
      <c r="DF33" s="28"/>
      <c r="DG33" s="28"/>
      <c r="DH33" s="28"/>
      <c r="DI33" s="28"/>
      <c r="DJ33" s="39"/>
      <c r="DK33" s="34"/>
      <c r="DL33" s="34"/>
      <c r="DM33" s="34"/>
      <c r="DN33" s="34"/>
      <c r="DO33" s="34"/>
    </row>
    <row r="34" spans="1:119" s="32" customFormat="1" ht="15" x14ac:dyDescent="0.35">
      <c r="A34" s="34"/>
      <c r="B34" s="23">
        <v>80000</v>
      </c>
      <c r="C34" s="38">
        <f t="shared" si="46"/>
        <v>0</v>
      </c>
      <c r="D34" s="113" t="s">
        <v>137</v>
      </c>
      <c r="E34" s="120">
        <f>F34*$E$4/$F$38</f>
        <v>0</v>
      </c>
      <c r="F34" s="120">
        <v>0</v>
      </c>
      <c r="G34" s="36"/>
      <c r="H34" s="158"/>
      <c r="I34" s="87"/>
      <c r="J34" s="99">
        <f t="shared" si="47"/>
        <v>0</v>
      </c>
      <c r="K34" s="100">
        <f t="shared" si="48"/>
        <v>100</v>
      </c>
      <c r="L34" s="34"/>
      <c r="M34" s="1"/>
      <c r="N34" s="27"/>
      <c r="O34" s="9"/>
      <c r="P34" s="110"/>
      <c r="Q34" s="117"/>
      <c r="R34" s="99"/>
      <c r="S34" s="36"/>
      <c r="T34" s="2"/>
      <c r="U34" s="34"/>
      <c r="V34" s="8"/>
      <c r="W34" s="11"/>
      <c r="X34" s="15"/>
      <c r="Y34" s="11"/>
      <c r="Z34" s="10"/>
      <c r="AA34" s="34"/>
      <c r="AB34" s="144" t="s">
        <v>137</v>
      </c>
      <c r="AC34" s="49"/>
      <c r="AD34" s="72">
        <f t="shared" si="0"/>
        <v>0</v>
      </c>
      <c r="AE34" s="50"/>
      <c r="AF34" s="73">
        <f t="shared" si="1"/>
        <v>0</v>
      </c>
      <c r="AG34" s="75"/>
      <c r="AH34" s="74"/>
      <c r="AI34" s="75"/>
      <c r="AJ34" s="74"/>
      <c r="AK34" s="75"/>
      <c r="AL34" s="74"/>
      <c r="AM34" s="51"/>
      <c r="AN34" s="74">
        <f t="shared" si="5"/>
        <v>0</v>
      </c>
      <c r="AO34" s="75">
        <v>0.5</v>
      </c>
      <c r="AP34" s="74">
        <f t="shared" si="6"/>
        <v>0</v>
      </c>
      <c r="AQ34" s="51"/>
      <c r="AR34" s="131"/>
      <c r="AS34" s="51"/>
      <c r="AT34" s="131"/>
      <c r="AU34" s="51"/>
      <c r="AV34" s="131"/>
      <c r="AW34" s="51"/>
      <c r="AX34" s="131"/>
      <c r="AY34" s="51"/>
      <c r="AZ34" s="131"/>
      <c r="BA34" s="51"/>
      <c r="BB34" s="131"/>
      <c r="BC34" s="51"/>
      <c r="BD34" s="131"/>
      <c r="BE34" s="51"/>
      <c r="BF34" s="131"/>
      <c r="BG34" s="51"/>
      <c r="BH34" s="131"/>
      <c r="BI34" s="51"/>
      <c r="BJ34" s="131"/>
      <c r="BK34" s="51"/>
      <c r="BL34" s="131"/>
      <c r="BM34" s="51"/>
      <c r="BN34" s="51"/>
      <c r="BO34" s="131"/>
      <c r="BP34" s="51"/>
      <c r="BQ34" s="52"/>
      <c r="BR34" s="52"/>
      <c r="BS34" s="51"/>
      <c r="BT34" s="74">
        <f t="shared" si="21"/>
        <v>0</v>
      </c>
      <c r="BU34" s="75"/>
      <c r="BV34" s="74">
        <f t="shared" si="22"/>
        <v>0</v>
      </c>
      <c r="BW34" s="75"/>
      <c r="BX34" s="74">
        <f t="shared" si="23"/>
        <v>0</v>
      </c>
      <c r="BY34" s="75"/>
      <c r="BZ34" s="74">
        <f t="shared" si="24"/>
        <v>0</v>
      </c>
      <c r="CA34" s="75"/>
      <c r="CB34" s="74">
        <f t="shared" si="25"/>
        <v>0</v>
      </c>
      <c r="CC34" s="75"/>
      <c r="CD34" s="74">
        <f t="shared" si="26"/>
        <v>0</v>
      </c>
      <c r="CE34" s="75"/>
      <c r="CF34" s="74">
        <f t="shared" si="27"/>
        <v>0</v>
      </c>
      <c r="CG34" s="75"/>
      <c r="CH34" s="74">
        <f t="shared" si="28"/>
        <v>0</v>
      </c>
      <c r="CI34" s="77"/>
      <c r="CJ34" s="72">
        <f t="shared" si="30"/>
        <v>0</v>
      </c>
      <c r="CK34" s="75"/>
      <c r="CL34" s="74">
        <f t="shared" si="44"/>
        <v>0</v>
      </c>
      <c r="CM34" s="75"/>
      <c r="CN34" s="74">
        <f t="shared" si="31"/>
        <v>0</v>
      </c>
      <c r="CO34" s="75"/>
      <c r="CP34" s="74">
        <f t="shared" si="32"/>
        <v>0</v>
      </c>
      <c r="CQ34" s="75"/>
      <c r="CR34" s="74">
        <f t="shared" si="33"/>
        <v>0</v>
      </c>
      <c r="CS34" s="51"/>
      <c r="CT34" s="131">
        <f t="shared" si="34"/>
        <v>0</v>
      </c>
      <c r="CU34" s="51"/>
      <c r="CV34" s="131">
        <f t="shared" si="36"/>
        <v>0</v>
      </c>
      <c r="CW34" s="158">
        <v>0.8</v>
      </c>
      <c r="CX34" s="74">
        <f t="shared" si="37"/>
        <v>0</v>
      </c>
      <c r="CY34" s="54">
        <v>2</v>
      </c>
      <c r="CZ34" s="79">
        <f t="shared" si="38"/>
        <v>0</v>
      </c>
      <c r="DA34" s="50">
        <v>98</v>
      </c>
      <c r="DB34" s="74">
        <f t="shared" si="39"/>
        <v>0</v>
      </c>
      <c r="DC34" s="146"/>
      <c r="DD34" s="158"/>
      <c r="DE34" s="158"/>
      <c r="DF34" s="158"/>
      <c r="DG34" s="158"/>
      <c r="DH34" s="158"/>
      <c r="DI34" s="158"/>
      <c r="DJ34" s="87"/>
      <c r="DK34" s="34"/>
      <c r="DL34" s="34"/>
      <c r="DM34" s="34"/>
      <c r="DN34" s="34"/>
      <c r="DO34" s="34"/>
    </row>
    <row r="35" spans="1:119" s="32" customFormat="1" ht="15" x14ac:dyDescent="0.35">
      <c r="A35" s="34"/>
      <c r="B35" s="59">
        <v>70000</v>
      </c>
      <c r="C35" s="58">
        <f t="shared" si="46"/>
        <v>0</v>
      </c>
      <c r="D35" s="114" t="s">
        <v>138</v>
      </c>
      <c r="E35" s="119">
        <f>F35*$E$4/$F$38</f>
        <v>0</v>
      </c>
      <c r="F35" s="119">
        <v>0</v>
      </c>
      <c r="G35" s="35"/>
      <c r="H35" s="28"/>
      <c r="I35" s="39"/>
      <c r="J35" s="97">
        <f t="shared" si="47"/>
        <v>0</v>
      </c>
      <c r="K35" s="98">
        <f t="shared" si="48"/>
        <v>100</v>
      </c>
      <c r="L35" s="34"/>
      <c r="M35" s="60"/>
      <c r="N35" s="61"/>
      <c r="O35" s="71"/>
      <c r="P35" s="109"/>
      <c r="Q35" s="106"/>
      <c r="R35" s="97"/>
      <c r="S35" s="35"/>
      <c r="T35" s="63"/>
      <c r="U35" s="34"/>
      <c r="V35" s="8"/>
      <c r="W35" s="71"/>
      <c r="X35" s="15"/>
      <c r="Y35" s="71"/>
      <c r="Z35" s="10"/>
      <c r="AA35" s="34"/>
      <c r="AB35" s="143" t="s">
        <v>138</v>
      </c>
      <c r="AC35" s="43"/>
      <c r="AD35" s="42">
        <f t="shared" si="0"/>
        <v>0</v>
      </c>
      <c r="AE35" s="45"/>
      <c r="AF35" s="44">
        <f t="shared" si="1"/>
        <v>0</v>
      </c>
      <c r="AG35" s="47"/>
      <c r="AH35" s="46"/>
      <c r="AI35" s="47"/>
      <c r="AJ35" s="46"/>
      <c r="AK35" s="47"/>
      <c r="AL35" s="46"/>
      <c r="AM35" s="47"/>
      <c r="AN35" s="46">
        <f t="shared" si="5"/>
        <v>0</v>
      </c>
      <c r="AO35" s="47">
        <v>0.5</v>
      </c>
      <c r="AP35" s="46">
        <f t="shared" si="6"/>
        <v>0</v>
      </c>
      <c r="AQ35" s="47"/>
      <c r="AR35" s="46"/>
      <c r="AS35" s="47"/>
      <c r="AT35" s="46"/>
      <c r="AU35" s="47"/>
      <c r="AV35" s="46"/>
      <c r="AW35" s="47"/>
      <c r="AX35" s="46"/>
      <c r="AY35" s="47"/>
      <c r="AZ35" s="46"/>
      <c r="BA35" s="47"/>
      <c r="BB35" s="46"/>
      <c r="BC35" s="47"/>
      <c r="BD35" s="46"/>
      <c r="BE35" s="47"/>
      <c r="BF35" s="46"/>
      <c r="BG35" s="47"/>
      <c r="BH35" s="46"/>
      <c r="BI35" s="47"/>
      <c r="BJ35" s="46"/>
      <c r="BK35" s="47"/>
      <c r="BL35" s="46"/>
      <c r="BM35" s="47"/>
      <c r="BN35" s="47"/>
      <c r="BO35" s="46"/>
      <c r="BP35" s="47"/>
      <c r="BQ35" s="48"/>
      <c r="BR35" s="48"/>
      <c r="BS35" s="43"/>
      <c r="BT35" s="46">
        <f t="shared" si="21"/>
        <v>0</v>
      </c>
      <c r="BU35" s="47"/>
      <c r="BV35" s="46">
        <f t="shared" si="22"/>
        <v>0</v>
      </c>
      <c r="BW35" s="43"/>
      <c r="BX35" s="46">
        <f t="shared" si="23"/>
        <v>0</v>
      </c>
      <c r="BY35" s="47"/>
      <c r="BZ35" s="46">
        <f t="shared" si="24"/>
        <v>0</v>
      </c>
      <c r="CA35" s="47"/>
      <c r="CB35" s="46">
        <f t="shared" si="25"/>
        <v>0</v>
      </c>
      <c r="CC35" s="47"/>
      <c r="CD35" s="46">
        <f t="shared" si="26"/>
        <v>0</v>
      </c>
      <c r="CE35" s="47"/>
      <c r="CF35" s="46">
        <f t="shared" si="27"/>
        <v>0</v>
      </c>
      <c r="CG35" s="47"/>
      <c r="CH35" s="46">
        <f t="shared" si="28"/>
        <v>0</v>
      </c>
      <c r="CI35" s="43"/>
      <c r="CJ35" s="42">
        <f t="shared" si="30"/>
        <v>0</v>
      </c>
      <c r="CK35" s="47"/>
      <c r="CL35" s="46">
        <f t="shared" si="44"/>
        <v>0</v>
      </c>
      <c r="CM35" s="47"/>
      <c r="CN35" s="46">
        <f t="shared" si="31"/>
        <v>0</v>
      </c>
      <c r="CO35" s="47"/>
      <c r="CP35" s="46">
        <f t="shared" si="32"/>
        <v>0</v>
      </c>
      <c r="CQ35" s="47"/>
      <c r="CR35" s="46">
        <f t="shared" si="33"/>
        <v>0</v>
      </c>
      <c r="CS35" s="47"/>
      <c r="CT35" s="46">
        <f t="shared" si="34"/>
        <v>0</v>
      </c>
      <c r="CU35" s="47"/>
      <c r="CV35" s="46">
        <f t="shared" si="36"/>
        <v>0</v>
      </c>
      <c r="CW35" s="28">
        <v>0.8</v>
      </c>
      <c r="CX35" s="46">
        <f t="shared" si="37"/>
        <v>0</v>
      </c>
      <c r="CY35" s="28">
        <v>2</v>
      </c>
      <c r="CZ35" s="35">
        <f t="shared" si="38"/>
        <v>0</v>
      </c>
      <c r="DA35" s="45">
        <v>98</v>
      </c>
      <c r="DB35" s="46">
        <f t="shared" si="39"/>
        <v>0</v>
      </c>
      <c r="DC35" s="145"/>
      <c r="DD35" s="28"/>
      <c r="DE35" s="28"/>
      <c r="DF35" s="28"/>
      <c r="DG35" s="28"/>
      <c r="DH35" s="28"/>
      <c r="DI35" s="28"/>
      <c r="DJ35" s="39"/>
      <c r="DK35" s="34"/>
      <c r="DL35" s="34"/>
      <c r="DM35" s="34"/>
      <c r="DN35" s="34"/>
      <c r="DO35" s="34"/>
    </row>
    <row r="36" spans="1:119" s="32" customFormat="1" ht="15" x14ac:dyDescent="0.35">
      <c r="A36" s="34"/>
      <c r="B36" s="23">
        <v>1000</v>
      </c>
      <c r="C36" s="38">
        <f t="shared" si="46"/>
        <v>30</v>
      </c>
      <c r="D36" s="113" t="s">
        <v>102</v>
      </c>
      <c r="E36" s="120">
        <f>F36*$E$4/$F$38</f>
        <v>30.000000000000174</v>
      </c>
      <c r="F36" s="120">
        <v>3</v>
      </c>
      <c r="G36" s="30"/>
      <c r="H36" s="158">
        <v>3</v>
      </c>
      <c r="I36" s="87"/>
      <c r="J36" s="163">
        <f t="shared" si="47"/>
        <v>3</v>
      </c>
      <c r="K36" s="164">
        <f t="shared" si="48"/>
        <v>100</v>
      </c>
      <c r="L36" s="34"/>
      <c r="M36" s="88"/>
      <c r="N36" s="89"/>
      <c r="O36" s="188"/>
      <c r="P36" s="188"/>
      <c r="Q36" s="118"/>
      <c r="R36" s="163"/>
      <c r="S36" s="79"/>
      <c r="T36" s="86"/>
      <c r="U36" s="34"/>
      <c r="V36" s="8"/>
      <c r="W36" s="198"/>
      <c r="X36" s="90"/>
      <c r="Y36" s="198"/>
      <c r="Z36" s="10"/>
      <c r="AA36" s="34"/>
      <c r="AB36" s="177" t="s">
        <v>102</v>
      </c>
      <c r="AC36" s="77"/>
      <c r="AD36" s="72">
        <f t="shared" si="0"/>
        <v>0</v>
      </c>
      <c r="AE36" s="78"/>
      <c r="AF36" s="73">
        <f t="shared" si="1"/>
        <v>0</v>
      </c>
      <c r="AG36" s="75"/>
      <c r="AH36" s="74"/>
      <c r="AI36" s="75"/>
      <c r="AJ36" s="74"/>
      <c r="AK36" s="75"/>
      <c r="AL36" s="74"/>
      <c r="AM36" s="75"/>
      <c r="AN36" s="74">
        <f t="shared" si="5"/>
        <v>0</v>
      </c>
      <c r="AO36" s="75">
        <v>99</v>
      </c>
      <c r="AP36" s="74">
        <f t="shared" si="6"/>
        <v>2.9699999999999998</v>
      </c>
      <c r="AQ36" s="75"/>
      <c r="AR36" s="74"/>
      <c r="AS36" s="75"/>
      <c r="AT36" s="74"/>
      <c r="AU36" s="75"/>
      <c r="AV36" s="74"/>
      <c r="AW36" s="75"/>
      <c r="AX36" s="74"/>
      <c r="AY36" s="75"/>
      <c r="AZ36" s="74"/>
      <c r="BA36" s="75"/>
      <c r="BB36" s="74"/>
      <c r="BC36" s="75"/>
      <c r="BD36" s="74"/>
      <c r="BE36" s="75"/>
      <c r="BF36" s="74"/>
      <c r="BG36" s="75"/>
      <c r="BH36" s="74"/>
      <c r="BI36" s="75"/>
      <c r="BJ36" s="74"/>
      <c r="BK36" s="75"/>
      <c r="BL36" s="74"/>
      <c r="BM36" s="75"/>
      <c r="BN36" s="75"/>
      <c r="BO36" s="74"/>
      <c r="BP36" s="75"/>
      <c r="BQ36" s="178"/>
      <c r="BR36" s="178"/>
      <c r="BS36" s="75">
        <v>1</v>
      </c>
      <c r="BT36" s="74">
        <f t="shared" si="21"/>
        <v>0.03</v>
      </c>
      <c r="BU36" s="75"/>
      <c r="BV36" s="74">
        <f t="shared" si="22"/>
        <v>0</v>
      </c>
      <c r="BW36" s="75"/>
      <c r="BX36" s="74">
        <f t="shared" si="23"/>
        <v>0</v>
      </c>
      <c r="BY36" s="75">
        <v>0.7</v>
      </c>
      <c r="BZ36" s="74">
        <f t="shared" si="24"/>
        <v>2.0999999999999998E-2</v>
      </c>
      <c r="CA36" s="75">
        <v>0.5</v>
      </c>
      <c r="CB36" s="74">
        <f t="shared" si="25"/>
        <v>1.4999999999999999E-2</v>
      </c>
      <c r="CC36" s="75"/>
      <c r="CD36" s="74">
        <f t="shared" si="26"/>
        <v>0</v>
      </c>
      <c r="CE36" s="75"/>
      <c r="CF36" s="74">
        <f t="shared" si="27"/>
        <v>0</v>
      </c>
      <c r="CG36" s="75"/>
      <c r="CH36" s="74">
        <f t="shared" si="28"/>
        <v>0</v>
      </c>
      <c r="CI36" s="77"/>
      <c r="CJ36" s="72">
        <f t="shared" si="30"/>
        <v>0</v>
      </c>
      <c r="CK36" s="75"/>
      <c r="CL36" s="74">
        <f t="shared" si="44"/>
        <v>0</v>
      </c>
      <c r="CM36" s="75"/>
      <c r="CN36" s="74">
        <f t="shared" si="31"/>
        <v>0</v>
      </c>
      <c r="CO36" s="75"/>
      <c r="CP36" s="74">
        <f t="shared" si="32"/>
        <v>0</v>
      </c>
      <c r="CQ36" s="75"/>
      <c r="CR36" s="74">
        <f t="shared" si="33"/>
        <v>0</v>
      </c>
      <c r="CS36" s="75"/>
      <c r="CT36" s="74">
        <f t="shared" si="34"/>
        <v>0</v>
      </c>
      <c r="CU36" s="75"/>
      <c r="CV36" s="74">
        <f t="shared" si="36"/>
        <v>0</v>
      </c>
      <c r="CW36" s="54">
        <v>1</v>
      </c>
      <c r="CX36" s="74">
        <f t="shared" si="37"/>
        <v>0.03</v>
      </c>
      <c r="CY36" s="54">
        <v>14</v>
      </c>
      <c r="CZ36" s="79">
        <f t="shared" si="38"/>
        <v>0.42000000000000004</v>
      </c>
      <c r="DA36" s="78">
        <v>98</v>
      </c>
      <c r="DB36" s="74">
        <f t="shared" si="39"/>
        <v>2.94</v>
      </c>
      <c r="DC36" s="179"/>
      <c r="DD36" s="54"/>
      <c r="DE36" s="54"/>
      <c r="DF36" s="54"/>
      <c r="DG36" s="54"/>
      <c r="DH36" s="54"/>
      <c r="DI36" s="54"/>
      <c r="DJ36" s="162"/>
      <c r="DK36" s="34"/>
      <c r="DL36" s="34"/>
      <c r="DM36" s="34"/>
      <c r="DN36" s="34"/>
      <c r="DO36" s="34"/>
    </row>
    <row r="37" spans="1:119" s="32" customFormat="1" ht="15.5" thickBot="1" x14ac:dyDescent="0.35">
      <c r="A37" s="34"/>
      <c r="B37" s="165">
        <v>1</v>
      </c>
      <c r="C37" s="166">
        <f>F37*B37%</f>
        <v>9.2819059475488658E-3</v>
      </c>
      <c r="D37" s="167" t="s">
        <v>24</v>
      </c>
      <c r="E37" s="168">
        <f>F37*$E$4/$F$38</f>
        <v>9.2819059475489194</v>
      </c>
      <c r="F37" s="168">
        <v>0.92819059475488652</v>
      </c>
      <c r="G37" s="169"/>
      <c r="H37" s="170"/>
      <c r="I37" s="171"/>
      <c r="J37" s="172">
        <f t="shared" si="47"/>
        <v>0</v>
      </c>
      <c r="K37" s="173">
        <f t="shared" si="48"/>
        <v>100</v>
      </c>
      <c r="L37" s="34"/>
      <c r="M37" s="183"/>
      <c r="N37" s="169"/>
      <c r="O37" s="184"/>
      <c r="P37" s="184"/>
      <c r="Q37" s="185"/>
      <c r="R37" s="172"/>
      <c r="S37" s="169"/>
      <c r="T37" s="186"/>
      <c r="U37" s="34"/>
      <c r="V37" s="16"/>
      <c r="W37" s="187"/>
      <c r="X37" s="17"/>
      <c r="Y37" s="187"/>
      <c r="Z37" s="18"/>
      <c r="AA37" s="34"/>
      <c r="AB37" s="194" t="s">
        <v>24</v>
      </c>
      <c r="AC37" s="139"/>
      <c r="AD37" s="180">
        <f t="shared" si="0"/>
        <v>0</v>
      </c>
      <c r="AE37" s="140"/>
      <c r="AF37" s="181">
        <f t="shared" si="1"/>
        <v>0</v>
      </c>
      <c r="AG37" s="142"/>
      <c r="AH37" s="182"/>
      <c r="AI37" s="142"/>
      <c r="AJ37" s="182"/>
      <c r="AK37" s="142"/>
      <c r="AL37" s="182"/>
      <c r="AM37" s="142"/>
      <c r="AN37" s="182">
        <f t="shared" si="5"/>
        <v>0</v>
      </c>
      <c r="AO37" s="142"/>
      <c r="AP37" s="182">
        <f t="shared" si="6"/>
        <v>0</v>
      </c>
      <c r="AQ37" s="141"/>
      <c r="AR37" s="182"/>
      <c r="AS37" s="141"/>
      <c r="AT37" s="182"/>
      <c r="AU37" s="141"/>
      <c r="AV37" s="182"/>
      <c r="AW37" s="141"/>
      <c r="AX37" s="182"/>
      <c r="AY37" s="141"/>
      <c r="AZ37" s="182"/>
      <c r="BA37" s="141"/>
      <c r="BB37" s="182"/>
      <c r="BC37" s="141"/>
      <c r="BD37" s="182"/>
      <c r="BE37" s="141"/>
      <c r="BF37" s="182"/>
      <c r="BG37" s="141"/>
      <c r="BH37" s="182"/>
      <c r="BI37" s="141"/>
      <c r="BJ37" s="182"/>
      <c r="BK37" s="141"/>
      <c r="BL37" s="182"/>
      <c r="BM37" s="141"/>
      <c r="BN37" s="141"/>
      <c r="BO37" s="182"/>
      <c r="BP37" s="141"/>
      <c r="BQ37" s="141"/>
      <c r="BR37" s="141"/>
      <c r="BS37" s="141"/>
      <c r="BT37" s="182">
        <f t="shared" si="21"/>
        <v>0</v>
      </c>
      <c r="BU37" s="141"/>
      <c r="BV37" s="182">
        <f t="shared" si="22"/>
        <v>0</v>
      </c>
      <c r="BW37" s="141"/>
      <c r="BX37" s="182">
        <f t="shared" si="23"/>
        <v>0</v>
      </c>
      <c r="BY37" s="141"/>
      <c r="BZ37" s="182">
        <f t="shared" si="24"/>
        <v>0</v>
      </c>
      <c r="CA37" s="141"/>
      <c r="CB37" s="182">
        <f t="shared" si="25"/>
        <v>0</v>
      </c>
      <c r="CC37" s="142"/>
      <c r="CD37" s="182">
        <f t="shared" si="26"/>
        <v>0</v>
      </c>
      <c r="CE37" s="141"/>
      <c r="CF37" s="182">
        <f t="shared" si="27"/>
        <v>0</v>
      </c>
      <c r="CG37" s="142"/>
      <c r="CH37" s="182">
        <f t="shared" si="28"/>
        <v>0</v>
      </c>
      <c r="CI37" s="142"/>
      <c r="CJ37" s="180">
        <f t="shared" si="30"/>
        <v>0</v>
      </c>
      <c r="CK37" s="141"/>
      <c r="CL37" s="182">
        <f t="shared" si="44"/>
        <v>0</v>
      </c>
      <c r="CM37" s="142"/>
      <c r="CN37" s="182">
        <f t="shared" si="31"/>
        <v>0</v>
      </c>
      <c r="CO37" s="142"/>
      <c r="CP37" s="182">
        <f t="shared" si="32"/>
        <v>0</v>
      </c>
      <c r="CQ37" s="142"/>
      <c r="CR37" s="182">
        <f t="shared" si="33"/>
        <v>0</v>
      </c>
      <c r="CS37" s="142"/>
      <c r="CT37" s="182">
        <f t="shared" si="34"/>
        <v>0</v>
      </c>
      <c r="CU37" s="142"/>
      <c r="CV37" s="182">
        <f t="shared" si="36"/>
        <v>0</v>
      </c>
      <c r="CW37" s="129">
        <v>1</v>
      </c>
      <c r="CX37" s="182">
        <f t="shared" si="37"/>
        <v>9.2819059475488658E-3</v>
      </c>
      <c r="CY37" s="129">
        <v>2</v>
      </c>
      <c r="CZ37" s="169">
        <f t="shared" si="38"/>
        <v>1.8563811895097732E-2</v>
      </c>
      <c r="DA37" s="140">
        <v>98</v>
      </c>
      <c r="DB37" s="186">
        <f t="shared" si="39"/>
        <v>0.90962678285978882</v>
      </c>
      <c r="DC37" s="128"/>
      <c r="DD37" s="129"/>
      <c r="DE37" s="129"/>
      <c r="DF37" s="129"/>
      <c r="DG37" s="129"/>
      <c r="DH37" s="129"/>
      <c r="DI37" s="129"/>
      <c r="DJ37" s="130"/>
      <c r="DK37" s="34"/>
      <c r="DL37" s="34"/>
      <c r="DM37" s="34"/>
      <c r="DN37" s="34"/>
      <c r="DO37" s="34"/>
    </row>
    <row r="38" spans="1:119" s="32" customFormat="1" ht="15.5" thickBot="1" x14ac:dyDescent="0.4">
      <c r="A38" s="34"/>
      <c r="B38" s="174"/>
      <c r="C38" s="58"/>
      <c r="D38" s="175"/>
      <c r="E38" s="122"/>
      <c r="F38" s="121">
        <f>SUM(F5:F37)</f>
        <v>99.999999999999417</v>
      </c>
      <c r="G38" s="35"/>
      <c r="H38" s="28"/>
      <c r="I38" s="28"/>
      <c r="J38" s="97"/>
      <c r="K38" s="97"/>
      <c r="L38" s="34"/>
      <c r="M38" s="34"/>
      <c r="N38" s="34"/>
      <c r="O38" s="111"/>
      <c r="P38" s="111"/>
      <c r="Q38" s="101"/>
      <c r="R38" s="101"/>
      <c r="S38" s="34"/>
      <c r="T38" s="34"/>
      <c r="U38" s="34"/>
      <c r="V38" s="34"/>
      <c r="W38" s="34"/>
      <c r="X38" s="34"/>
      <c r="Y38" s="34"/>
      <c r="Z38" s="34"/>
      <c r="AA38" s="34"/>
      <c r="AB38" s="69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5"/>
      <c r="CZ38" s="34"/>
      <c r="DA38" s="33"/>
      <c r="DB38" s="33"/>
      <c r="DC38" s="35"/>
      <c r="DD38" s="35"/>
      <c r="DE38" s="35"/>
      <c r="DF38" s="35"/>
      <c r="DG38" s="35"/>
      <c r="DH38" s="35"/>
      <c r="DI38" s="35"/>
      <c r="DJ38" s="35"/>
      <c r="DK38" s="34"/>
      <c r="DL38" s="34"/>
      <c r="DM38" s="34"/>
      <c r="DN38" s="34"/>
      <c r="DO38" s="34"/>
    </row>
    <row r="39" spans="1:119" x14ac:dyDescent="0.35">
      <c r="A39" s="53"/>
      <c r="B39" s="53"/>
      <c r="C39" s="53"/>
      <c r="D39" s="64"/>
      <c r="E39" s="64"/>
      <c r="F39" s="53"/>
      <c r="G39" s="53"/>
      <c r="H39" s="65"/>
      <c r="I39" s="65"/>
      <c r="J39" s="91"/>
      <c r="K39" s="91"/>
      <c r="L39" s="53"/>
      <c r="M39" s="53"/>
      <c r="N39" s="53"/>
      <c r="O39" s="108"/>
      <c r="P39" s="108"/>
      <c r="Q39" s="91"/>
      <c r="R39" s="91"/>
      <c r="S39" s="53"/>
      <c r="T39" s="53"/>
      <c r="U39" s="53"/>
      <c r="V39" s="53"/>
      <c r="W39" s="53"/>
      <c r="X39" s="53"/>
      <c r="Y39" s="53"/>
      <c r="Z39" s="53"/>
      <c r="AA39" s="53"/>
      <c r="AB39" s="64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67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</row>
    <row r="40" spans="1:119" x14ac:dyDescent="0.35">
      <c r="A40" s="53"/>
      <c r="B40" s="53"/>
      <c r="C40" s="53"/>
      <c r="D40" s="64"/>
      <c r="E40" s="64"/>
      <c r="F40" s="53"/>
      <c r="G40" s="53"/>
      <c r="H40" s="65"/>
      <c r="I40" s="65"/>
      <c r="J40" s="91"/>
      <c r="K40" s="91"/>
      <c r="L40" s="53"/>
      <c r="M40" s="53"/>
      <c r="N40" s="53"/>
      <c r="O40" s="108"/>
      <c r="P40" s="108"/>
      <c r="Q40" s="91"/>
      <c r="R40" s="91"/>
      <c r="S40" s="53"/>
      <c r="T40" s="53"/>
      <c r="U40" s="53"/>
      <c r="V40" s="53"/>
      <c r="W40" s="53"/>
      <c r="X40" s="53"/>
      <c r="Y40" s="53"/>
      <c r="Z40" s="53"/>
      <c r="AA40" s="53"/>
      <c r="AB40" s="64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67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</row>
    <row r="41" spans="1:119" x14ac:dyDescent="0.35">
      <c r="A41" s="53"/>
      <c r="B41" s="53"/>
      <c r="C41" s="53"/>
      <c r="D41" s="64"/>
      <c r="E41" s="64"/>
      <c r="F41" s="53"/>
      <c r="G41" s="53"/>
      <c r="H41" s="65"/>
      <c r="I41" s="65"/>
      <c r="J41" s="91"/>
      <c r="K41" s="91"/>
      <c r="L41" s="53"/>
      <c r="M41" s="53"/>
      <c r="N41" s="53"/>
      <c r="O41" s="108"/>
      <c r="P41" s="108"/>
      <c r="Q41" s="91"/>
      <c r="R41" s="91"/>
      <c r="S41" s="53"/>
      <c r="T41" s="53"/>
      <c r="U41" s="53"/>
      <c r="V41" s="53"/>
      <c r="W41" s="53"/>
      <c r="X41" s="53"/>
      <c r="Y41" s="53"/>
      <c r="Z41" s="53"/>
      <c r="AA41" s="53"/>
      <c r="AB41" s="64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67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</row>
    <row r="42" spans="1:119" x14ac:dyDescent="0.35">
      <c r="A42" s="53"/>
      <c r="B42" s="53"/>
      <c r="C42" s="53"/>
      <c r="D42" s="64"/>
      <c r="E42" s="64"/>
      <c r="F42" s="53"/>
      <c r="G42" s="53"/>
      <c r="H42" s="65"/>
      <c r="I42" s="65"/>
      <c r="J42" s="91"/>
      <c r="K42" s="91"/>
      <c r="L42" s="53"/>
      <c r="M42" s="53"/>
      <c r="N42" s="53"/>
      <c r="O42" s="108"/>
      <c r="P42" s="108"/>
      <c r="Q42" s="91"/>
      <c r="R42" s="91"/>
      <c r="S42" s="53"/>
      <c r="T42" s="53"/>
      <c r="U42" s="53"/>
      <c r="V42" s="53"/>
      <c r="W42" s="53"/>
      <c r="X42" s="53"/>
      <c r="Y42" s="53"/>
      <c r="Z42" s="53"/>
      <c r="AA42" s="53"/>
      <c r="AB42" s="64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67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</row>
    <row r="43" spans="1:119" x14ac:dyDescent="0.35">
      <c r="A43" s="53"/>
      <c r="B43" s="53"/>
      <c r="C43" s="53"/>
      <c r="D43" s="64"/>
      <c r="E43" s="64"/>
      <c r="F43" s="53"/>
      <c r="G43" s="53"/>
      <c r="H43" s="65"/>
      <c r="I43" s="65"/>
      <c r="J43" s="91"/>
      <c r="K43" s="91"/>
      <c r="L43" s="53"/>
      <c r="M43" s="53"/>
      <c r="N43" s="53"/>
      <c r="O43" s="108"/>
      <c r="P43" s="108"/>
      <c r="Q43" s="91"/>
      <c r="R43" s="91"/>
      <c r="S43" s="53"/>
      <c r="T43" s="53"/>
      <c r="U43" s="53"/>
      <c r="V43" s="53"/>
      <c r="W43" s="53"/>
      <c r="X43" s="53"/>
      <c r="Y43" s="53"/>
      <c r="Z43" s="53"/>
      <c r="AA43" s="53"/>
      <c r="AB43" s="64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67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</row>
    <row r="44" spans="1:119" x14ac:dyDescent="0.35">
      <c r="A44" s="53"/>
      <c r="B44" s="53"/>
      <c r="C44" s="53"/>
      <c r="D44" s="64"/>
      <c r="E44" s="64"/>
      <c r="F44" s="53"/>
      <c r="G44" s="53"/>
      <c r="H44" s="65"/>
      <c r="I44" s="65"/>
      <c r="J44" s="91"/>
      <c r="K44" s="91"/>
      <c r="L44" s="53"/>
      <c r="M44" s="53"/>
      <c r="N44" s="53"/>
      <c r="O44" s="108"/>
      <c r="P44" s="108"/>
      <c r="Q44" s="91"/>
      <c r="R44" s="91"/>
      <c r="S44" s="53"/>
      <c r="T44" s="53"/>
      <c r="U44" s="53"/>
      <c r="V44" s="53"/>
      <c r="W44" s="53"/>
      <c r="X44" s="53"/>
      <c r="Y44" s="53"/>
      <c r="Z44" s="53"/>
      <c r="AA44" s="53"/>
      <c r="AB44" s="64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67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</row>
    <row r="45" spans="1:119" x14ac:dyDescent="0.35">
      <c r="A45" s="53"/>
      <c r="B45" s="53"/>
      <c r="C45" s="53"/>
      <c r="D45" s="64"/>
      <c r="E45" s="64"/>
      <c r="F45" s="53"/>
      <c r="G45" s="53"/>
      <c r="H45" s="65"/>
      <c r="I45" s="65"/>
      <c r="J45" s="91"/>
      <c r="K45" s="91"/>
      <c r="L45" s="53"/>
      <c r="M45" s="53"/>
      <c r="N45" s="53"/>
      <c r="O45" s="108"/>
      <c r="P45" s="108"/>
      <c r="Q45" s="91"/>
      <c r="R45" s="91"/>
      <c r="S45" s="53"/>
      <c r="T45" s="53"/>
      <c r="U45" s="53"/>
      <c r="V45" s="53"/>
      <c r="W45" s="53"/>
      <c r="X45" s="53"/>
      <c r="Y45" s="53"/>
      <c r="Z45" s="53"/>
      <c r="AA45" s="53"/>
      <c r="AB45" s="64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67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</row>
    <row r="46" spans="1:119" x14ac:dyDescent="0.35">
      <c r="A46" s="53"/>
      <c r="B46" s="53"/>
      <c r="C46" s="53"/>
      <c r="D46" s="64"/>
      <c r="E46" s="64"/>
      <c r="F46" s="53"/>
      <c r="G46" s="53"/>
      <c r="H46" s="65"/>
      <c r="I46" s="65"/>
      <c r="J46" s="91"/>
      <c r="K46" s="91"/>
      <c r="L46" s="53"/>
      <c r="M46" s="53"/>
      <c r="N46" s="53"/>
      <c r="O46" s="108"/>
      <c r="P46" s="108"/>
      <c r="Q46" s="91"/>
      <c r="R46" s="91"/>
      <c r="S46" s="53"/>
      <c r="T46" s="53"/>
      <c r="U46" s="53"/>
      <c r="V46" s="53"/>
      <c r="W46" s="53"/>
      <c r="X46" s="53"/>
      <c r="Y46" s="53"/>
      <c r="Z46" s="53"/>
      <c r="AA46" s="53"/>
      <c r="AB46" s="64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67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</row>
    <row r="47" spans="1:119" x14ac:dyDescent="0.35">
      <c r="A47" s="53"/>
      <c r="B47" s="53"/>
      <c r="C47" s="53"/>
      <c r="D47" s="64"/>
      <c r="E47" s="64"/>
      <c r="F47" s="53"/>
      <c r="G47" s="53"/>
      <c r="H47" s="65"/>
      <c r="I47" s="65"/>
      <c r="J47" s="91"/>
      <c r="K47" s="91"/>
      <c r="L47" s="53"/>
      <c r="M47" s="53"/>
      <c r="N47" s="53"/>
      <c r="O47" s="108"/>
      <c r="P47" s="108"/>
      <c r="Q47" s="91"/>
      <c r="R47" s="91"/>
      <c r="S47" s="53"/>
      <c r="T47" s="53"/>
      <c r="U47" s="53"/>
      <c r="V47" s="53"/>
      <c r="W47" s="53"/>
      <c r="X47" s="53"/>
      <c r="Y47" s="53"/>
      <c r="Z47" s="53"/>
      <c r="AA47" s="53"/>
      <c r="AB47" s="64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67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</row>
    <row r="48" spans="1:119" s="55" customFormat="1" x14ac:dyDescent="0.35">
      <c r="D48" s="56"/>
      <c r="E48" s="56"/>
      <c r="H48" s="57"/>
      <c r="I48" s="57"/>
      <c r="J48" s="102"/>
      <c r="K48" s="102"/>
      <c r="AB48" s="56"/>
      <c r="CY48" s="133"/>
    </row>
    <row r="49" spans="4:103" s="55" customFormat="1" x14ac:dyDescent="0.35">
      <c r="D49" s="56"/>
      <c r="E49" s="56"/>
      <c r="H49" s="57"/>
      <c r="I49" s="57"/>
      <c r="J49" s="102"/>
      <c r="K49" s="102"/>
      <c r="AB49" s="56"/>
      <c r="CY49" s="133"/>
    </row>
    <row r="50" spans="4:103" s="55" customFormat="1" x14ac:dyDescent="0.35">
      <c r="D50" s="56"/>
      <c r="E50" s="56"/>
      <c r="H50" s="57"/>
      <c r="I50" s="57"/>
      <c r="J50" s="102"/>
      <c r="K50" s="102"/>
      <c r="AB50" s="56"/>
      <c r="CY50" s="133"/>
    </row>
    <row r="51" spans="4:103" s="55" customFormat="1" x14ac:dyDescent="0.35">
      <c r="D51" s="56"/>
      <c r="E51" s="56"/>
      <c r="H51" s="57"/>
      <c r="I51" s="57"/>
      <c r="J51" s="102"/>
      <c r="K51" s="102"/>
      <c r="AB51" s="56"/>
      <c r="CY51" s="133"/>
    </row>
    <row r="52" spans="4:103" s="55" customFormat="1" x14ac:dyDescent="0.35">
      <c r="D52" s="56"/>
      <c r="E52" s="56"/>
      <c r="H52" s="57"/>
      <c r="I52" s="57"/>
      <c r="J52" s="102"/>
      <c r="K52" s="102"/>
      <c r="AB52" s="56"/>
      <c r="CY52" s="133"/>
    </row>
    <row r="53" spans="4:103" s="55" customFormat="1" x14ac:dyDescent="0.35">
      <c r="D53" s="56"/>
      <c r="E53" s="56"/>
      <c r="H53" s="57"/>
      <c r="I53" s="57"/>
      <c r="J53" s="102"/>
      <c r="K53" s="102"/>
      <c r="AB53" s="56"/>
      <c r="CY53" s="133"/>
    </row>
    <row r="54" spans="4:103" x14ac:dyDescent="0.35">
      <c r="O54" s="30"/>
      <c r="P54" s="30"/>
      <c r="Q54" s="30"/>
      <c r="R54" s="30"/>
    </row>
    <row r="55" spans="4:103" x14ac:dyDescent="0.35">
      <c r="O55" s="30"/>
      <c r="P55" s="30"/>
      <c r="Q55" s="30"/>
      <c r="R55" s="30"/>
    </row>
    <row r="56" spans="4:103" x14ac:dyDescent="0.35">
      <c r="O56" s="30"/>
      <c r="P56" s="30"/>
      <c r="Q56" s="30"/>
      <c r="R56" s="30"/>
    </row>
    <row r="57" spans="4:103" x14ac:dyDescent="0.35">
      <c r="O57" s="30"/>
      <c r="P57" s="30"/>
      <c r="Q57" s="30"/>
      <c r="R57" s="30"/>
    </row>
    <row r="58" spans="4:103" x14ac:dyDescent="0.35">
      <c r="O58" s="30"/>
      <c r="P58" s="30"/>
      <c r="Q58" s="30"/>
      <c r="R58" s="30"/>
    </row>
    <row r="59" spans="4:103" x14ac:dyDescent="0.35">
      <c r="O59" s="30"/>
      <c r="P59" s="30"/>
      <c r="Q59" s="30"/>
      <c r="R59" s="30"/>
    </row>
    <row r="60" spans="4:103" x14ac:dyDescent="0.35">
      <c r="O60" s="30"/>
      <c r="P60" s="30"/>
      <c r="Q60" s="30"/>
      <c r="R60" s="30"/>
    </row>
    <row r="61" spans="4:103" x14ac:dyDescent="0.35">
      <c r="O61" s="30"/>
      <c r="P61" s="30"/>
      <c r="Q61" s="30"/>
      <c r="R61" s="30"/>
    </row>
    <row r="62" spans="4:103" x14ac:dyDescent="0.35">
      <c r="O62" s="30"/>
      <c r="P62" s="30"/>
      <c r="Q62" s="30"/>
      <c r="R62" s="30"/>
    </row>
    <row r="63" spans="4:103" x14ac:dyDescent="0.35">
      <c r="O63" s="30"/>
      <c r="P63" s="30"/>
      <c r="Q63" s="30"/>
      <c r="R63" s="30"/>
    </row>
    <row r="64" spans="4:103" x14ac:dyDescent="0.35">
      <c r="O64" s="30"/>
      <c r="P64" s="30"/>
      <c r="Q64" s="30"/>
      <c r="R64" s="30"/>
    </row>
    <row r="65" spans="15:18" x14ac:dyDescent="0.35">
      <c r="O65" s="30"/>
      <c r="P65" s="30"/>
      <c r="Q65" s="30"/>
      <c r="R65" s="30"/>
    </row>
    <row r="66" spans="15:18" x14ac:dyDescent="0.35">
      <c r="O66" s="30"/>
      <c r="P66" s="30"/>
      <c r="Q66" s="30"/>
      <c r="R66" s="30"/>
    </row>
    <row r="67" spans="15:18" x14ac:dyDescent="0.35">
      <c r="O67" s="30"/>
      <c r="P67" s="30"/>
      <c r="Q67" s="30"/>
      <c r="R67" s="30"/>
    </row>
    <row r="68" spans="15:18" x14ac:dyDescent="0.35">
      <c r="O68" s="30"/>
      <c r="P68" s="30"/>
      <c r="Q68" s="30"/>
      <c r="R68" s="30"/>
    </row>
    <row r="69" spans="15:18" x14ac:dyDescent="0.35">
      <c r="O69" s="30"/>
      <c r="P69" s="30"/>
      <c r="Q69" s="30"/>
      <c r="R69" s="30"/>
    </row>
    <row r="70" spans="15:18" x14ac:dyDescent="0.35">
      <c r="O70" s="30"/>
      <c r="P70" s="30"/>
      <c r="Q70" s="30"/>
      <c r="R70" s="30"/>
    </row>
    <row r="71" spans="15:18" x14ac:dyDescent="0.35">
      <c r="O71" s="30"/>
      <c r="P71" s="30"/>
      <c r="Q71" s="30"/>
      <c r="R71" s="30"/>
    </row>
    <row r="72" spans="15:18" x14ac:dyDescent="0.35">
      <c r="O72" s="30"/>
      <c r="P72" s="30"/>
      <c r="Q72" s="30"/>
      <c r="R72" s="30"/>
    </row>
    <row r="73" spans="15:18" x14ac:dyDescent="0.35">
      <c r="O73" s="30"/>
      <c r="P73" s="30"/>
      <c r="Q73" s="30"/>
      <c r="R73" s="30"/>
    </row>
    <row r="74" spans="15:18" x14ac:dyDescent="0.35">
      <c r="O74" s="30"/>
      <c r="P74" s="30"/>
      <c r="Q74" s="30"/>
      <c r="R74" s="30"/>
    </row>
    <row r="75" spans="15:18" x14ac:dyDescent="0.35">
      <c r="O75" s="30"/>
      <c r="P75" s="30"/>
      <c r="Q75" s="30"/>
      <c r="R75" s="30"/>
    </row>
    <row r="76" spans="15:18" x14ac:dyDescent="0.35">
      <c r="O76" s="30"/>
      <c r="P76" s="30"/>
      <c r="Q76" s="30"/>
      <c r="R76" s="30"/>
    </row>
    <row r="77" spans="15:18" x14ac:dyDescent="0.35">
      <c r="O77" s="30"/>
      <c r="P77" s="30"/>
      <c r="Q77" s="30"/>
      <c r="R77" s="30"/>
    </row>
    <row r="78" spans="15:18" x14ac:dyDescent="0.35">
      <c r="O78" s="30"/>
      <c r="P78" s="30"/>
      <c r="Q78" s="30"/>
      <c r="R78" s="30"/>
    </row>
    <row r="79" spans="15:18" x14ac:dyDescent="0.35">
      <c r="O79" s="30"/>
      <c r="P79" s="30"/>
      <c r="Q79" s="30"/>
      <c r="R79" s="30"/>
    </row>
    <row r="80" spans="15:18" x14ac:dyDescent="0.35">
      <c r="O80" s="30"/>
      <c r="P80" s="30"/>
      <c r="Q80" s="30"/>
      <c r="R80" s="30"/>
    </row>
    <row r="81" spans="15:18" x14ac:dyDescent="0.35">
      <c r="O81" s="30"/>
      <c r="P81" s="30"/>
      <c r="Q81" s="30"/>
      <c r="R81" s="30"/>
    </row>
  </sheetData>
  <mergeCells count="55">
    <mergeCell ref="V3:Z3"/>
    <mergeCell ref="B3:B4"/>
    <mergeCell ref="C3:C4"/>
    <mergeCell ref="D3:D4"/>
    <mergeCell ref="F3:F4"/>
    <mergeCell ref="G3:G4"/>
    <mergeCell ref="H3:I3"/>
    <mergeCell ref="M3:M4"/>
    <mergeCell ref="N3:N4"/>
    <mergeCell ref="O3:P3"/>
    <mergeCell ref="S3:S4"/>
    <mergeCell ref="T3:T4"/>
    <mergeCell ref="AU3:AU4"/>
    <mergeCell ref="AB3:AB4"/>
    <mergeCell ref="AC3:AC4"/>
    <mergeCell ref="AD3:AD4"/>
    <mergeCell ref="AE3:AE4"/>
    <mergeCell ref="AG3:AG4"/>
    <mergeCell ref="AI3:AI4"/>
    <mergeCell ref="AK3:AK4"/>
    <mergeCell ref="AM3:AM4"/>
    <mergeCell ref="AO3:AO4"/>
    <mergeCell ref="AQ3:AQ4"/>
    <mergeCell ref="AS3:AS4"/>
    <mergeCell ref="BQ3:BQ4"/>
    <mergeCell ref="AW3:AW4"/>
    <mergeCell ref="AY3:AY4"/>
    <mergeCell ref="BA3:BA4"/>
    <mergeCell ref="BC3:BC4"/>
    <mergeCell ref="BE3:BE4"/>
    <mergeCell ref="BG3:BG4"/>
    <mergeCell ref="BI3:BI4"/>
    <mergeCell ref="BK3:BK4"/>
    <mergeCell ref="BM3:BM4"/>
    <mergeCell ref="BN3:BN4"/>
    <mergeCell ref="BP3:BP4"/>
    <mergeCell ref="CM3:CM4"/>
    <mergeCell ref="BR3:BR4"/>
    <mergeCell ref="BS3:BS4"/>
    <mergeCell ref="BU3:BU4"/>
    <mergeCell ref="BW3:BW4"/>
    <mergeCell ref="BY3:BY4"/>
    <mergeCell ref="CA3:CA4"/>
    <mergeCell ref="CC3:CC4"/>
    <mergeCell ref="CE3:CE4"/>
    <mergeCell ref="CG3:CG4"/>
    <mergeCell ref="CI3:CI4"/>
    <mergeCell ref="CK3:CK4"/>
    <mergeCell ref="DA3:DA4"/>
    <mergeCell ref="CO3:CO4"/>
    <mergeCell ref="CQ3:CQ4"/>
    <mergeCell ref="CS3:CS4"/>
    <mergeCell ref="CU3:CU4"/>
    <mergeCell ref="CW3:CW4"/>
    <mergeCell ref="CY3:CY4"/>
  </mergeCells>
  <conditionalFormatting sqref="F9:F15 F6 F17:F18">
    <cfRule type="cellIs" dxfId="12" priority="13" operator="equal">
      <formula>0</formula>
    </cfRule>
  </conditionalFormatting>
  <conditionalFormatting sqref="F5">
    <cfRule type="cellIs" dxfId="11" priority="12" operator="equal">
      <formula>0</formula>
    </cfRule>
  </conditionalFormatting>
  <conditionalFormatting sqref="F7">
    <cfRule type="cellIs" dxfId="10" priority="11" operator="equal">
      <formula>0</formula>
    </cfRule>
  </conditionalFormatting>
  <conditionalFormatting sqref="F8">
    <cfRule type="cellIs" dxfId="9" priority="10" operator="equal">
      <formula>0</formula>
    </cfRule>
  </conditionalFormatting>
  <conditionalFormatting sqref="F19:F25 F27">
    <cfRule type="cellIs" dxfId="8" priority="9" operator="equal">
      <formula>0</formula>
    </cfRule>
  </conditionalFormatting>
  <conditionalFormatting sqref="F29:F35 E38:F38 F37">
    <cfRule type="cellIs" dxfId="7" priority="8" operator="equal">
      <formula>0</formula>
    </cfRule>
  </conditionalFormatting>
  <conditionalFormatting sqref="F28">
    <cfRule type="cellIs" dxfId="6" priority="7" operator="equal">
      <formula>0</formula>
    </cfRule>
  </conditionalFormatting>
  <conditionalFormatting sqref="F16">
    <cfRule type="cellIs" dxfId="5" priority="6" operator="equal">
      <formula>0</formula>
    </cfRule>
  </conditionalFormatting>
  <conditionalFormatting sqref="F26">
    <cfRule type="cellIs" dxfId="4" priority="5" operator="equal">
      <formula>0</formula>
    </cfRule>
  </conditionalFormatting>
  <conditionalFormatting sqref="F36">
    <cfRule type="cellIs" dxfId="3" priority="4" operator="equal">
      <formula>0</formula>
    </cfRule>
  </conditionalFormatting>
  <conditionalFormatting sqref="E5:E33">
    <cfRule type="cellIs" dxfId="2" priority="3" operator="equal">
      <formula>0</formula>
    </cfRule>
  </conditionalFormatting>
  <conditionalFormatting sqref="E37 E34:E35">
    <cfRule type="cellIs" dxfId="1" priority="2" operator="equal">
      <formula>0</formula>
    </cfRule>
  </conditionalFormatting>
  <conditionalFormatting sqref="E3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Cat Premix</vt:lpstr>
      <vt:lpstr>Dog Premix</vt:lpstr>
      <vt:lpstr>Cat</vt:lpstr>
      <vt:lpstr>Dog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farhad</dc:creator>
  <cp:lastModifiedBy>farhad foroudi</cp:lastModifiedBy>
  <cp:lastPrinted>2022-02-06T12:35:33Z</cp:lastPrinted>
  <dcterms:created xsi:type="dcterms:W3CDTF">2018-10-16T09:16:33Z</dcterms:created>
  <dcterms:modified xsi:type="dcterms:W3CDTF">2023-09-08T19:09:16Z</dcterms:modified>
</cp:coreProperties>
</file>