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foro\OneDrive\Desktop\Feed Formulation2\"/>
    </mc:Choice>
  </mc:AlternateContent>
  <xr:revisionPtr revIDLastSave="0" documentId="13_ncr:1_{AD582EA8-3E18-429E-A192-D04B453C4CA1}" xr6:coauthVersionLast="47" xr6:coauthVersionMax="47" xr10:uidLastSave="{00000000-0000-0000-0000-000000000000}"/>
  <bookViews>
    <workbookView xWindow="-110" yWindow="-110" windowWidth="19420" windowHeight="10300" activeTab="2" xr2:uid="{331782C9-C2EB-4577-A395-D1CE8F9B388F}"/>
  </bookViews>
  <sheets>
    <sheet name="مکمل قزل آلا" sheetId="4" r:id="rId1"/>
    <sheet name="مکمل کپور" sheetId="5" r:id="rId2"/>
    <sheet name="قزل آلا" sheetId="1" r:id="rId3"/>
    <sheet name="کپور" sheetId="8" r:id="rId4"/>
  </sheets>
  <definedNames>
    <definedName name="solver_adj" localSheetId="2" hidden="1">'قزل آلا'!$F$5:$F$41</definedName>
    <definedName name="solver_adj" localSheetId="3" hidden="1">کپور!$F$5:$F$41</definedName>
    <definedName name="solver_cvg" localSheetId="2" hidden="1">0.0001</definedName>
    <definedName name="solver_cvg" localSheetId="3" hidden="1">0.0001</definedName>
    <definedName name="solver_drv" localSheetId="2" hidden="1">1</definedName>
    <definedName name="solver_drv" localSheetId="3" hidden="1">1</definedName>
    <definedName name="solver_eng" localSheetId="2" hidden="1">2</definedName>
    <definedName name="solver_eng" localSheetId="3" hidden="1">2</definedName>
    <definedName name="solver_est" localSheetId="2" hidden="1">1</definedName>
    <definedName name="solver_est" localSheetId="3" hidden="1">1</definedName>
    <definedName name="solver_itr" localSheetId="2" hidden="1">2147483647</definedName>
    <definedName name="solver_itr" localSheetId="3" hidden="1">2147483647</definedName>
    <definedName name="solver_lhs1" localSheetId="2" hidden="1">'قزل آلا'!$F$42</definedName>
    <definedName name="solver_lhs1" localSheetId="3" hidden="1">کپور!$F$42</definedName>
    <definedName name="solver_lhs2" localSheetId="2" hidden="1">'قزل آلا'!$F$5:$F$41</definedName>
    <definedName name="solver_lhs2" localSheetId="3" hidden="1">کپور!$F$5:$F$41</definedName>
    <definedName name="solver_lhs3" localSheetId="2" hidden="1">'قزل آلا'!$F$5:$F$41</definedName>
    <definedName name="solver_lhs3" localSheetId="3" hidden="1">کپور!$F$5:$F$41</definedName>
    <definedName name="solver_lhs4" localSheetId="2" hidden="1">'قزل آلا'!$T$5:$T$27</definedName>
    <definedName name="solver_lhs4" localSheetId="3" hidden="1">کپور!$T$5:$T$27</definedName>
    <definedName name="solver_lhs5" localSheetId="2" hidden="1">'قزل آلا'!$T$5:$T$27</definedName>
    <definedName name="solver_lhs5" localSheetId="3" hidden="1">کپور!$T$5:$T$27</definedName>
    <definedName name="solver_lhs6" localSheetId="2" hidden="1">'قزل آلا'!$T$9</definedName>
    <definedName name="solver_mip" localSheetId="2" hidden="1">2147483647</definedName>
    <definedName name="solver_mip" localSheetId="3" hidden="1">2147483647</definedName>
    <definedName name="solver_mni" localSheetId="2" hidden="1">30</definedName>
    <definedName name="solver_mni" localSheetId="3" hidden="1">30</definedName>
    <definedName name="solver_mrt" localSheetId="2" hidden="1">0.075</definedName>
    <definedName name="solver_mrt" localSheetId="3" hidden="1">0.075</definedName>
    <definedName name="solver_msl" localSheetId="2" hidden="1">2</definedName>
    <definedName name="solver_msl" localSheetId="3" hidden="1">2</definedName>
    <definedName name="solver_neg" localSheetId="2" hidden="1">1</definedName>
    <definedName name="solver_neg" localSheetId="3" hidden="1">1</definedName>
    <definedName name="solver_nod" localSheetId="2" hidden="1">2147483647</definedName>
    <definedName name="solver_nod" localSheetId="3" hidden="1">2147483647</definedName>
    <definedName name="solver_num" localSheetId="2" hidden="1">5</definedName>
    <definedName name="solver_num" localSheetId="3" hidden="1">5</definedName>
    <definedName name="solver_nwt" localSheetId="2" hidden="1">1</definedName>
    <definedName name="solver_nwt" localSheetId="3" hidden="1">1</definedName>
    <definedName name="solver_opt" localSheetId="2" hidden="1">'قزل آلا'!$C$2</definedName>
    <definedName name="solver_opt" localSheetId="3" hidden="1">کپور!$C$2</definedName>
    <definedName name="solver_pre" localSheetId="2" hidden="1">0.000001</definedName>
    <definedName name="solver_pre" localSheetId="3" hidden="1">0.000001</definedName>
    <definedName name="solver_rbv" localSheetId="2" hidden="1">1</definedName>
    <definedName name="solver_rbv" localSheetId="3" hidden="1">1</definedName>
    <definedName name="solver_rel1" localSheetId="2" hidden="1">2</definedName>
    <definedName name="solver_rel1" localSheetId="3" hidden="1">2</definedName>
    <definedName name="solver_rel2" localSheetId="2" hidden="1">1</definedName>
    <definedName name="solver_rel2" localSheetId="3" hidden="1">1</definedName>
    <definedName name="solver_rel3" localSheetId="2" hidden="1">3</definedName>
    <definedName name="solver_rel3" localSheetId="3" hidden="1">3</definedName>
    <definedName name="solver_rel4" localSheetId="2" hidden="1">1</definedName>
    <definedName name="solver_rel4" localSheetId="3" hidden="1">1</definedName>
    <definedName name="solver_rel5" localSheetId="2" hidden="1">3</definedName>
    <definedName name="solver_rel5" localSheetId="3" hidden="1">3</definedName>
    <definedName name="solver_rel6" localSheetId="2" hidden="1">3</definedName>
    <definedName name="solver_rhs1" localSheetId="2" hidden="1">100</definedName>
    <definedName name="solver_rhs1" localSheetId="3" hidden="1">100</definedName>
    <definedName name="solver_rhs2" localSheetId="2" hidden="1">'قزل آلا'!$K$5:$K$41</definedName>
    <definedName name="solver_rhs2" localSheetId="3" hidden="1">کپور!$K$5:$K$41</definedName>
    <definedName name="solver_rhs3" localSheetId="2" hidden="1">'قزل آلا'!$J$5:$J$41</definedName>
    <definedName name="solver_rhs3" localSheetId="3" hidden="1">کپور!$J$5:$J$41</definedName>
    <definedName name="solver_rhs4" localSheetId="2" hidden="1">'قزل آلا'!$R$5:$R$27</definedName>
    <definedName name="solver_rhs4" localSheetId="3" hidden="1">کپور!$R$5:$R$27</definedName>
    <definedName name="solver_rhs5" localSheetId="2" hidden="1">'قزل آلا'!$Q$5:$Q$27</definedName>
    <definedName name="solver_rhs5" localSheetId="3" hidden="1">کپور!$Q$5:$Q$27</definedName>
    <definedName name="solver_rhs6" localSheetId="2" hidden="1">'قزل آلا'!$P$9</definedName>
    <definedName name="solver_rlx" localSheetId="2" hidden="1">2</definedName>
    <definedName name="solver_rlx" localSheetId="3" hidden="1">2</definedName>
    <definedName name="solver_rsd" localSheetId="2" hidden="1">0</definedName>
    <definedName name="solver_rsd" localSheetId="3" hidden="1">0</definedName>
    <definedName name="solver_scl" localSheetId="2" hidden="1">1</definedName>
    <definedName name="solver_scl" localSheetId="3" hidden="1">1</definedName>
    <definedName name="solver_sho" localSheetId="2" hidden="1">2</definedName>
    <definedName name="solver_sho" localSheetId="3" hidden="1">2</definedName>
    <definedName name="solver_ssz" localSheetId="2" hidden="1">100</definedName>
    <definedName name="solver_ssz" localSheetId="3" hidden="1">100</definedName>
    <definedName name="solver_tim" localSheetId="2" hidden="1">2147483647</definedName>
    <definedName name="solver_tim" localSheetId="3" hidden="1">2147483647</definedName>
    <definedName name="solver_tol" localSheetId="2" hidden="1">0.01</definedName>
    <definedName name="solver_tol" localSheetId="3" hidden="1">0.01</definedName>
    <definedName name="solver_typ" localSheetId="2" hidden="1">2</definedName>
    <definedName name="solver_typ" localSheetId="3" hidden="1">2</definedName>
    <definedName name="solver_val" localSheetId="2" hidden="1">0</definedName>
    <definedName name="solver_val" localSheetId="3" hidden="1">0</definedName>
    <definedName name="solver_ver" localSheetId="2" hidden="1">3</definedName>
    <definedName name="solver_ver" localSheetId="3" hidden="1">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9" i="8" l="1"/>
  <c r="Q19" i="8" s="1"/>
  <c r="O18" i="8"/>
  <c r="Q18" i="8" s="1"/>
  <c r="O17" i="8"/>
  <c r="Q17" i="8" s="1"/>
  <c r="O15" i="8"/>
  <c r="O14" i="8"/>
  <c r="O13" i="8"/>
  <c r="W19" i="8"/>
  <c r="Y19" i="8"/>
  <c r="W18" i="8"/>
  <c r="Y18" i="8"/>
  <c r="W17" i="8"/>
  <c r="Y17" i="8"/>
  <c r="W15" i="8"/>
  <c r="Y15" i="8"/>
  <c r="W14" i="8"/>
  <c r="Y14" i="8"/>
  <c r="W13" i="8"/>
  <c r="Y13" i="8"/>
  <c r="AA13" i="8"/>
  <c r="AA19" i="8"/>
  <c r="AA18" i="8"/>
  <c r="AA17" i="8"/>
  <c r="AA15" i="8"/>
  <c r="AA14" i="8"/>
  <c r="AC19" i="8"/>
  <c r="AC18" i="8"/>
  <c r="AC17" i="8"/>
  <c r="AC15" i="8"/>
  <c r="AC14" i="8"/>
  <c r="AC13" i="8"/>
  <c r="AE19" i="8"/>
  <c r="AE18" i="8"/>
  <c r="AE17" i="8"/>
  <c r="AE15" i="8"/>
  <c r="AE14" i="8"/>
  <c r="AE13" i="8"/>
  <c r="F42" i="8"/>
  <c r="CX41" i="8"/>
  <c r="CV41" i="8"/>
  <c r="CT41" i="8"/>
  <c r="CR41" i="8"/>
  <c r="CP41" i="8"/>
  <c r="CN41" i="8"/>
  <c r="CL41" i="8"/>
  <c r="CJ41" i="8"/>
  <c r="CH41" i="8"/>
  <c r="CF41" i="8"/>
  <c r="CD41" i="8"/>
  <c r="CB41" i="8"/>
  <c r="BZ41" i="8"/>
  <c r="BX41" i="8"/>
  <c r="BV41" i="8"/>
  <c r="BT41" i="8"/>
  <c r="BR41" i="8"/>
  <c r="BP41" i="8"/>
  <c r="BN41" i="8"/>
  <c r="BL41" i="8"/>
  <c r="BJ41" i="8"/>
  <c r="BH41" i="8"/>
  <c r="BF41" i="8"/>
  <c r="BD41" i="8"/>
  <c r="BB41" i="8"/>
  <c r="AZ41" i="8"/>
  <c r="AX41" i="8"/>
  <c r="AV41" i="8"/>
  <c r="AT41" i="8"/>
  <c r="AR41" i="8"/>
  <c r="AP41" i="8"/>
  <c r="AN41" i="8"/>
  <c r="AL41" i="8"/>
  <c r="AJ41" i="8"/>
  <c r="K41" i="8"/>
  <c r="J41" i="8"/>
  <c r="E41" i="8"/>
  <c r="C41" i="8"/>
  <c r="CX40" i="8"/>
  <c r="CV40" i="8"/>
  <c r="CT40" i="8"/>
  <c r="CR40" i="8"/>
  <c r="CP40" i="8"/>
  <c r="CN40" i="8"/>
  <c r="CL40" i="8"/>
  <c r="CJ40" i="8"/>
  <c r="CH40" i="8"/>
  <c r="CF40" i="8"/>
  <c r="CD40" i="8"/>
  <c r="CB40" i="8"/>
  <c r="BZ40" i="8"/>
  <c r="BX40" i="8"/>
  <c r="BV40" i="8"/>
  <c r="BT40" i="8"/>
  <c r="BR40" i="8"/>
  <c r="BP40" i="8"/>
  <c r="BN40" i="8"/>
  <c r="BL40" i="8"/>
  <c r="BJ40" i="8"/>
  <c r="BH40" i="8"/>
  <c r="BF40" i="8"/>
  <c r="BD40" i="8"/>
  <c r="BB40" i="8"/>
  <c r="AZ40" i="8"/>
  <c r="AX40" i="8"/>
  <c r="AV40" i="8"/>
  <c r="AT40" i="8"/>
  <c r="AR40" i="8"/>
  <c r="AP40" i="8"/>
  <c r="AN40" i="8"/>
  <c r="AL40" i="8"/>
  <c r="AJ40" i="8"/>
  <c r="K40" i="8"/>
  <c r="J40" i="8"/>
  <c r="E40" i="8"/>
  <c r="C40" i="8"/>
  <c r="CX39" i="8"/>
  <c r="CV39" i="8"/>
  <c r="CT39" i="8"/>
  <c r="CR39" i="8"/>
  <c r="CP39" i="8"/>
  <c r="CN39" i="8"/>
  <c r="CL39" i="8"/>
  <c r="CJ39" i="8"/>
  <c r="CH39" i="8"/>
  <c r="CF39" i="8"/>
  <c r="CD39" i="8"/>
  <c r="CB39" i="8"/>
  <c r="BZ39" i="8"/>
  <c r="BX39" i="8"/>
  <c r="BV39" i="8"/>
  <c r="BT39" i="8"/>
  <c r="BR39" i="8"/>
  <c r="BP39" i="8"/>
  <c r="BN39" i="8"/>
  <c r="BL39" i="8"/>
  <c r="BJ39" i="8"/>
  <c r="BH39" i="8"/>
  <c r="BF39" i="8"/>
  <c r="BD39" i="8"/>
  <c r="BB39" i="8"/>
  <c r="AZ39" i="8"/>
  <c r="AX39" i="8"/>
  <c r="AV39" i="8"/>
  <c r="AT39" i="8"/>
  <c r="AR39" i="8"/>
  <c r="AP39" i="8"/>
  <c r="AN39" i="8"/>
  <c r="AL39" i="8"/>
  <c r="AJ39" i="8"/>
  <c r="K39" i="8"/>
  <c r="J39" i="8"/>
  <c r="E39" i="8"/>
  <c r="C39" i="8"/>
  <c r="CX38" i="8"/>
  <c r="CV38" i="8"/>
  <c r="CT38" i="8"/>
  <c r="CR38" i="8"/>
  <c r="CP38" i="8"/>
  <c r="CN38" i="8"/>
  <c r="CL38" i="8"/>
  <c r="CJ38" i="8"/>
  <c r="CH38" i="8"/>
  <c r="CF38" i="8"/>
  <c r="CE38" i="8"/>
  <c r="CD38" i="8"/>
  <c r="CB38" i="8"/>
  <c r="BZ38" i="8"/>
  <c r="BX38" i="8"/>
  <c r="BV38" i="8"/>
  <c r="BT38" i="8"/>
  <c r="BR38" i="8"/>
  <c r="BP38" i="8"/>
  <c r="BN38" i="8"/>
  <c r="BL38" i="8"/>
  <c r="BJ38" i="8"/>
  <c r="BH38" i="8"/>
  <c r="BF38" i="8"/>
  <c r="BD38" i="8"/>
  <c r="BB38" i="8"/>
  <c r="AZ38" i="8"/>
  <c r="AX38" i="8"/>
  <c r="AV38" i="8"/>
  <c r="AT38" i="8"/>
  <c r="AR38" i="8"/>
  <c r="AP38" i="8"/>
  <c r="AN38" i="8"/>
  <c r="AL38" i="8"/>
  <c r="AJ38" i="8"/>
  <c r="K38" i="8"/>
  <c r="J38" i="8"/>
  <c r="E38" i="8"/>
  <c r="C38" i="8"/>
  <c r="CX37" i="8"/>
  <c r="CV37" i="8"/>
  <c r="CT37" i="8"/>
  <c r="CR37" i="8"/>
  <c r="CP37" i="8"/>
  <c r="CN37" i="8"/>
  <c r="CL37" i="8"/>
  <c r="CJ37" i="8"/>
  <c r="CH37" i="8"/>
  <c r="CF37" i="8"/>
  <c r="CD37" i="8"/>
  <c r="CB37" i="8"/>
  <c r="BZ37" i="8"/>
  <c r="BX37" i="8"/>
  <c r="BV37" i="8"/>
  <c r="BR37" i="8"/>
  <c r="BP37" i="8"/>
  <c r="BN37" i="8"/>
  <c r="BL37" i="8"/>
  <c r="BJ37" i="8"/>
  <c r="BH37" i="8"/>
  <c r="BF37" i="8"/>
  <c r="BD37" i="8"/>
  <c r="BB37" i="8"/>
  <c r="AZ37" i="8"/>
  <c r="AX37" i="8"/>
  <c r="AV37" i="8"/>
  <c r="AT37" i="8"/>
  <c r="AR37" i="8"/>
  <c r="AP37" i="8"/>
  <c r="AN37" i="8"/>
  <c r="K37" i="8"/>
  <c r="J37" i="8"/>
  <c r="E37" i="8"/>
  <c r="C37" i="8"/>
  <c r="CX36" i="8"/>
  <c r="CV36" i="8"/>
  <c r="CT36" i="8"/>
  <c r="CR36" i="8"/>
  <c r="CP36" i="8"/>
  <c r="CN36" i="8"/>
  <c r="CL36" i="8"/>
  <c r="CJ36" i="8"/>
  <c r="CH36" i="8"/>
  <c r="CF36" i="8"/>
  <c r="CD36" i="8"/>
  <c r="CB36" i="8"/>
  <c r="BZ36" i="8"/>
  <c r="BX36" i="8"/>
  <c r="BV36" i="8"/>
  <c r="BT36" i="8"/>
  <c r="BS36" i="8"/>
  <c r="BR36" i="8"/>
  <c r="BP36" i="8"/>
  <c r="BN36" i="8"/>
  <c r="BL36" i="8"/>
  <c r="BJ36" i="8"/>
  <c r="BH36" i="8"/>
  <c r="BF36" i="8"/>
  <c r="BD36" i="8"/>
  <c r="BB36" i="8"/>
  <c r="AZ36" i="8"/>
  <c r="AX36" i="8"/>
  <c r="AV36" i="8"/>
  <c r="AT36" i="8"/>
  <c r="AR36" i="8"/>
  <c r="AP36" i="8"/>
  <c r="AN36" i="8"/>
  <c r="AL36" i="8"/>
  <c r="AJ36" i="8"/>
  <c r="K36" i="8"/>
  <c r="J36" i="8"/>
  <c r="E36" i="8"/>
  <c r="C36" i="8"/>
  <c r="CX35" i="8"/>
  <c r="CV35" i="8"/>
  <c r="CT35" i="8"/>
  <c r="CR35" i="8"/>
  <c r="CP35" i="8"/>
  <c r="CN35" i="8"/>
  <c r="CL35" i="8"/>
  <c r="CJ35" i="8"/>
  <c r="CH35" i="8"/>
  <c r="CF35" i="8"/>
  <c r="CD35" i="8"/>
  <c r="CB35" i="8"/>
  <c r="BZ35" i="8"/>
  <c r="BX35" i="8"/>
  <c r="BV35" i="8"/>
  <c r="BS35" i="8"/>
  <c r="BT35" i="8" s="1"/>
  <c r="BR35" i="8"/>
  <c r="BP35" i="8"/>
  <c r="BN35" i="8"/>
  <c r="BL35" i="8"/>
  <c r="BJ35" i="8"/>
  <c r="BH35" i="8"/>
  <c r="BF35" i="8"/>
  <c r="BD35" i="8"/>
  <c r="BB35" i="8"/>
  <c r="AZ35" i="8"/>
  <c r="AX35" i="8"/>
  <c r="AV35" i="8"/>
  <c r="AT35" i="8"/>
  <c r="AR35" i="8"/>
  <c r="AP35" i="8"/>
  <c r="AN35" i="8"/>
  <c r="AL35" i="8"/>
  <c r="AJ35" i="8"/>
  <c r="K35" i="8"/>
  <c r="J35" i="8"/>
  <c r="E35" i="8"/>
  <c r="C35" i="8"/>
  <c r="CX34" i="8"/>
  <c r="CV34" i="8"/>
  <c r="CT34" i="8"/>
  <c r="CR34" i="8"/>
  <c r="CP34" i="8"/>
  <c r="CN34" i="8"/>
  <c r="CL34" i="8"/>
  <c r="CJ34" i="8"/>
  <c r="CH34" i="8"/>
  <c r="CF34" i="8"/>
  <c r="CE34" i="8"/>
  <c r="CD34" i="8"/>
  <c r="CB34" i="8"/>
  <c r="BZ34" i="8"/>
  <c r="BX34" i="8"/>
  <c r="BV34" i="8"/>
  <c r="BT34" i="8"/>
  <c r="BR34" i="8"/>
  <c r="BP34" i="8"/>
  <c r="BN34" i="8"/>
  <c r="BL34" i="8"/>
  <c r="BJ34" i="8"/>
  <c r="BH34" i="8"/>
  <c r="BF34" i="8"/>
  <c r="BD34" i="8"/>
  <c r="BB34" i="8"/>
  <c r="AZ34" i="8"/>
  <c r="AX34" i="8"/>
  <c r="AV34" i="8"/>
  <c r="AT34" i="8"/>
  <c r="AR34" i="8"/>
  <c r="AP34" i="8"/>
  <c r="AN34" i="8"/>
  <c r="AL34" i="8"/>
  <c r="AJ34" i="8"/>
  <c r="K34" i="8"/>
  <c r="J34" i="8"/>
  <c r="E34" i="8"/>
  <c r="C34" i="8"/>
  <c r="CX33" i="8"/>
  <c r="CV33" i="8"/>
  <c r="CT33" i="8"/>
  <c r="CR33" i="8"/>
  <c r="CP33" i="8"/>
  <c r="CN33" i="8"/>
  <c r="CL33" i="8"/>
  <c r="CJ33" i="8"/>
  <c r="CH33" i="8"/>
  <c r="CF33" i="8"/>
  <c r="CD33" i="8"/>
  <c r="CB33" i="8"/>
  <c r="BZ33" i="8"/>
  <c r="BX33" i="8"/>
  <c r="BV33" i="8"/>
  <c r="BT33" i="8"/>
  <c r="BR33" i="8"/>
  <c r="BP33" i="8"/>
  <c r="BN33" i="8"/>
  <c r="BL33" i="8"/>
  <c r="BJ33" i="8"/>
  <c r="BH33" i="8"/>
  <c r="BF33" i="8"/>
  <c r="BD33" i="8"/>
  <c r="BB33" i="8"/>
  <c r="AZ33" i="8"/>
  <c r="AX33" i="8"/>
  <c r="AV33" i="8"/>
  <c r="AT33" i="8"/>
  <c r="AR33" i="8"/>
  <c r="AP33" i="8"/>
  <c r="AN33" i="8"/>
  <c r="AL33" i="8"/>
  <c r="AJ33" i="8"/>
  <c r="K33" i="8"/>
  <c r="J33" i="8"/>
  <c r="E33" i="8"/>
  <c r="C33" i="8"/>
  <c r="CX32" i="8"/>
  <c r="CV32" i="8"/>
  <c r="CT32" i="8"/>
  <c r="CR32" i="8"/>
  <c r="CP32" i="8"/>
  <c r="CN32" i="8"/>
  <c r="CL32" i="8"/>
  <c r="CJ32" i="8"/>
  <c r="CH32" i="8"/>
  <c r="CF32" i="8"/>
  <c r="CD32" i="8"/>
  <c r="CB32" i="8"/>
  <c r="BZ32" i="8"/>
  <c r="BX32" i="8"/>
  <c r="BV32" i="8"/>
  <c r="BT32" i="8"/>
  <c r="BR32" i="8"/>
  <c r="BP32" i="8"/>
  <c r="BN32" i="8"/>
  <c r="BL32" i="8"/>
  <c r="BJ32" i="8"/>
  <c r="BH32" i="8"/>
  <c r="BF32" i="8"/>
  <c r="BD32" i="8"/>
  <c r="BB32" i="8"/>
  <c r="AZ32" i="8"/>
  <c r="AX32" i="8"/>
  <c r="AV32" i="8"/>
  <c r="AT32" i="8"/>
  <c r="AR32" i="8"/>
  <c r="AP32" i="8"/>
  <c r="AN32" i="8"/>
  <c r="AL32" i="8"/>
  <c r="AJ32" i="8"/>
  <c r="K32" i="8"/>
  <c r="J32" i="8"/>
  <c r="E32" i="8"/>
  <c r="C32" i="8"/>
  <c r="CX31" i="8"/>
  <c r="CV31" i="8"/>
  <c r="CT31" i="8"/>
  <c r="CR31" i="8"/>
  <c r="CP31" i="8"/>
  <c r="CN31" i="8"/>
  <c r="CL31" i="8"/>
  <c r="CJ31" i="8"/>
  <c r="CH31" i="8"/>
  <c r="CF31" i="8"/>
  <c r="CD31" i="8"/>
  <c r="CB31" i="8"/>
  <c r="BZ31" i="8"/>
  <c r="BX31" i="8"/>
  <c r="BV31" i="8"/>
  <c r="BT31" i="8"/>
  <c r="BR31" i="8"/>
  <c r="BP31" i="8"/>
  <c r="BN31" i="8"/>
  <c r="BL31" i="8"/>
  <c r="BJ31" i="8"/>
  <c r="BH31" i="8"/>
  <c r="BF31" i="8"/>
  <c r="BD31" i="8"/>
  <c r="BB31" i="8"/>
  <c r="AZ31" i="8"/>
  <c r="AX31" i="8"/>
  <c r="AV31" i="8"/>
  <c r="AT31" i="8"/>
  <c r="AR31" i="8"/>
  <c r="AP31" i="8"/>
  <c r="AN31" i="8"/>
  <c r="AL31" i="8"/>
  <c r="AJ31" i="8"/>
  <c r="K31" i="8"/>
  <c r="J31" i="8"/>
  <c r="E31" i="8"/>
  <c r="C31" i="8"/>
  <c r="CX30" i="8"/>
  <c r="CV30" i="8"/>
  <c r="CT30" i="8"/>
  <c r="CR30" i="8"/>
  <c r="CP30" i="8"/>
  <c r="CN30" i="8"/>
  <c r="CL30" i="8"/>
  <c r="CJ30" i="8"/>
  <c r="CH30" i="8"/>
  <c r="CF30" i="8"/>
  <c r="CD30" i="8"/>
  <c r="CB30" i="8"/>
  <c r="BZ30" i="8"/>
  <c r="BX30" i="8"/>
  <c r="BV30" i="8"/>
  <c r="BT30" i="8"/>
  <c r="BR30" i="8"/>
  <c r="BP30" i="8"/>
  <c r="BN30" i="8"/>
  <c r="BL30" i="8"/>
  <c r="BJ30" i="8"/>
  <c r="BH30" i="8"/>
  <c r="BF30" i="8"/>
  <c r="BD30" i="8"/>
  <c r="BB30" i="8"/>
  <c r="AZ30" i="8"/>
  <c r="AX30" i="8"/>
  <c r="AV30" i="8"/>
  <c r="AT30" i="8"/>
  <c r="AR30" i="8"/>
  <c r="AP30" i="8"/>
  <c r="AN30" i="8"/>
  <c r="AL30" i="8"/>
  <c r="AJ30" i="8"/>
  <c r="K30" i="8"/>
  <c r="J30" i="8"/>
  <c r="E30" i="8"/>
  <c r="C30" i="8"/>
  <c r="CX29" i="8"/>
  <c r="CV29" i="8"/>
  <c r="CT29" i="8"/>
  <c r="CR29" i="8"/>
  <c r="CP29" i="8"/>
  <c r="CN29" i="8"/>
  <c r="CL29" i="8"/>
  <c r="CJ29" i="8"/>
  <c r="CH29" i="8"/>
  <c r="CF29" i="8"/>
  <c r="CD29" i="8"/>
  <c r="CB29" i="8"/>
  <c r="BZ29" i="8"/>
  <c r="BX29" i="8"/>
  <c r="BV29" i="8"/>
  <c r="BT29" i="8"/>
  <c r="BR29" i="8"/>
  <c r="BP29" i="8"/>
  <c r="BN29" i="8"/>
  <c r="BL29" i="8"/>
  <c r="BJ29" i="8"/>
  <c r="BH29" i="8"/>
  <c r="BF29" i="8"/>
  <c r="BD29" i="8"/>
  <c r="BB29" i="8"/>
  <c r="AZ29" i="8"/>
  <c r="AX29" i="8"/>
  <c r="AV29" i="8"/>
  <c r="AT29" i="8"/>
  <c r="AR29" i="8"/>
  <c r="AP29" i="8"/>
  <c r="AN29" i="8"/>
  <c r="AL29" i="8"/>
  <c r="AJ29" i="8"/>
  <c r="K29" i="8"/>
  <c r="J29" i="8"/>
  <c r="E29" i="8"/>
  <c r="C29" i="8"/>
  <c r="CX28" i="8"/>
  <c r="CV28" i="8"/>
  <c r="CT28" i="8"/>
  <c r="CR28" i="8"/>
  <c r="CP28" i="8"/>
  <c r="CN28" i="8"/>
  <c r="CL28" i="8"/>
  <c r="CJ28" i="8"/>
  <c r="CH28" i="8"/>
  <c r="CE28" i="8"/>
  <c r="CF28" i="8" s="1"/>
  <c r="CD28" i="8"/>
  <c r="CB28" i="8"/>
  <c r="BZ28" i="8"/>
  <c r="BX28" i="8"/>
  <c r="BV28" i="8"/>
  <c r="BT28" i="8"/>
  <c r="BR28" i="8"/>
  <c r="BP28" i="8"/>
  <c r="BN28" i="8"/>
  <c r="BL28" i="8"/>
  <c r="BJ28" i="8"/>
  <c r="BH28" i="8"/>
  <c r="BF28" i="8"/>
  <c r="BD28" i="8"/>
  <c r="BB28" i="8"/>
  <c r="AZ28" i="8"/>
  <c r="AX28" i="8"/>
  <c r="AV28" i="8"/>
  <c r="AT28" i="8"/>
  <c r="AR28" i="8"/>
  <c r="AP28" i="8"/>
  <c r="AN28" i="8"/>
  <c r="AL28" i="8"/>
  <c r="AJ28" i="8"/>
  <c r="K28" i="8"/>
  <c r="J28" i="8"/>
  <c r="E28" i="8"/>
  <c r="C28" i="8"/>
  <c r="CX27" i="8"/>
  <c r="CV27" i="8"/>
  <c r="CT27" i="8"/>
  <c r="CR27" i="8"/>
  <c r="CP27" i="8"/>
  <c r="CN27" i="8"/>
  <c r="CL27" i="8"/>
  <c r="CJ27" i="8"/>
  <c r="CH27" i="8"/>
  <c r="CF27" i="8"/>
  <c r="CD27" i="8"/>
  <c r="CB27" i="8"/>
  <c r="BZ27" i="8"/>
  <c r="BX27" i="8"/>
  <c r="BV27" i="8"/>
  <c r="BT27" i="8"/>
  <c r="BS27" i="8"/>
  <c r="BR27" i="8"/>
  <c r="BP27" i="8"/>
  <c r="BN27" i="8"/>
  <c r="BL27" i="8"/>
  <c r="BJ27" i="8"/>
  <c r="BH27" i="8"/>
  <c r="BF27" i="8"/>
  <c r="BD27" i="8"/>
  <c r="BB27" i="8"/>
  <c r="AZ27" i="8"/>
  <c r="AX27" i="8"/>
  <c r="AV27" i="8"/>
  <c r="AT27" i="8"/>
  <c r="AR27" i="8"/>
  <c r="AP27" i="8"/>
  <c r="AN27" i="8"/>
  <c r="AL27" i="8"/>
  <c r="AJ27" i="8"/>
  <c r="R27" i="8"/>
  <c r="Q27" i="8"/>
  <c r="K27" i="8"/>
  <c r="J27" i="8"/>
  <c r="E27" i="8"/>
  <c r="C27" i="8"/>
  <c r="CX26" i="8"/>
  <c r="CV26" i="8"/>
  <c r="CT26" i="8"/>
  <c r="CR26" i="8"/>
  <c r="CP26" i="8"/>
  <c r="CN26" i="8"/>
  <c r="CL26" i="8"/>
  <c r="CJ26" i="8"/>
  <c r="CH26" i="8"/>
  <c r="CF26" i="8"/>
  <c r="CD26" i="8"/>
  <c r="CB26" i="8"/>
  <c r="BZ26" i="8"/>
  <c r="BX26" i="8"/>
  <c r="BV26" i="8"/>
  <c r="BT26" i="8"/>
  <c r="BR26" i="8"/>
  <c r="BP26" i="8"/>
  <c r="BN26" i="8"/>
  <c r="BL26" i="8"/>
  <c r="BJ26" i="8"/>
  <c r="BH26" i="8"/>
  <c r="BF26" i="8"/>
  <c r="BD26" i="8"/>
  <c r="BB26" i="8"/>
  <c r="AZ26" i="8"/>
  <c r="AX26" i="8"/>
  <c r="AV26" i="8"/>
  <c r="AT26" i="8"/>
  <c r="AR26" i="8"/>
  <c r="AP26" i="8"/>
  <c r="AN26" i="8"/>
  <c r="AL26" i="8"/>
  <c r="AJ26" i="8"/>
  <c r="R26" i="8"/>
  <c r="Q26" i="8"/>
  <c r="K26" i="8"/>
  <c r="J26" i="8"/>
  <c r="E26" i="8"/>
  <c r="C26" i="8"/>
  <c r="CX25" i="8"/>
  <c r="CV25" i="8"/>
  <c r="CU25" i="8"/>
  <c r="CT25" i="8"/>
  <c r="CR25" i="8"/>
  <c r="CP25" i="8"/>
  <c r="CN25" i="8"/>
  <c r="CL25" i="8"/>
  <c r="CI25" i="8"/>
  <c r="CJ25" i="8" s="1"/>
  <c r="CH25" i="8"/>
  <c r="CE25" i="8"/>
  <c r="CF25" i="8" s="1"/>
  <c r="CD25" i="8"/>
  <c r="CB25" i="8"/>
  <c r="BZ25" i="8"/>
  <c r="BX25" i="8"/>
  <c r="BV25" i="8"/>
  <c r="BT25" i="8"/>
  <c r="BS25" i="8"/>
  <c r="BR25" i="8"/>
  <c r="BP25" i="8"/>
  <c r="BN25" i="8"/>
  <c r="BM25" i="8"/>
  <c r="BK25" i="8"/>
  <c r="BL25" i="8" s="1"/>
  <c r="BJ25" i="8"/>
  <c r="BI25" i="8"/>
  <c r="BH25" i="8"/>
  <c r="BG25" i="8"/>
  <c r="BF25" i="8"/>
  <c r="BE25" i="8"/>
  <c r="BC25" i="8"/>
  <c r="BD25" i="8" s="1"/>
  <c r="BB25" i="8"/>
  <c r="BA25" i="8"/>
  <c r="AZ25" i="8"/>
  <c r="AY25" i="8"/>
  <c r="AX25" i="8"/>
  <c r="AW25" i="8"/>
  <c r="AV25" i="8"/>
  <c r="AT25" i="8"/>
  <c r="AR25" i="8"/>
  <c r="AP25" i="8"/>
  <c r="AN25" i="8"/>
  <c r="AL25" i="8"/>
  <c r="AJ25" i="8"/>
  <c r="R25" i="8"/>
  <c r="Q25" i="8"/>
  <c r="K25" i="8"/>
  <c r="J25" i="8"/>
  <c r="E25" i="8"/>
  <c r="C25" i="8"/>
  <c r="CX24" i="8"/>
  <c r="CU24" i="8"/>
  <c r="CV24" i="8" s="1"/>
  <c r="CT24" i="8"/>
  <c r="CR24" i="8"/>
  <c r="CP24" i="8"/>
  <c r="CN24" i="8"/>
  <c r="CL24" i="8"/>
  <c r="CJ24" i="8"/>
  <c r="CI24" i="8"/>
  <c r="CH24" i="8"/>
  <c r="CF24" i="8"/>
  <c r="CE24" i="8"/>
  <c r="CD24" i="8"/>
  <c r="CB24" i="8"/>
  <c r="BZ24" i="8"/>
  <c r="BX24" i="8"/>
  <c r="BV24" i="8"/>
  <c r="BS24" i="8"/>
  <c r="BT24" i="8" s="1"/>
  <c r="BR24" i="8"/>
  <c r="BP24" i="8"/>
  <c r="BN24" i="8"/>
  <c r="BM24" i="8"/>
  <c r="BL24" i="8"/>
  <c r="BK24" i="8"/>
  <c r="BI24" i="8"/>
  <c r="BJ24" i="8" s="1"/>
  <c r="BH24" i="8"/>
  <c r="BG24" i="8"/>
  <c r="BF24" i="8"/>
  <c r="BE24" i="8"/>
  <c r="BD24" i="8"/>
  <c r="BC24" i="8"/>
  <c r="BA24" i="8"/>
  <c r="BB24" i="8" s="1"/>
  <c r="AZ24" i="8"/>
  <c r="AY24" i="8"/>
  <c r="AX24" i="8"/>
  <c r="AW24" i="8"/>
  <c r="AV24" i="8"/>
  <c r="AT24" i="8"/>
  <c r="AR24" i="8"/>
  <c r="AP24" i="8"/>
  <c r="AN24" i="8"/>
  <c r="AL24" i="8"/>
  <c r="AJ24" i="8"/>
  <c r="R24" i="8"/>
  <c r="Q24" i="8"/>
  <c r="K24" i="8"/>
  <c r="J24" i="8"/>
  <c r="E24" i="8"/>
  <c r="C24" i="8"/>
  <c r="CX23" i="8"/>
  <c r="CU23" i="8"/>
  <c r="CV23" i="8" s="1"/>
  <c r="CT23" i="8"/>
  <c r="CR23" i="8"/>
  <c r="CP23" i="8"/>
  <c r="CN23" i="8"/>
  <c r="CL23" i="8"/>
  <c r="CJ23" i="8"/>
  <c r="CI23" i="8"/>
  <c r="CH23" i="8"/>
  <c r="CE23" i="8"/>
  <c r="CF23" i="8" s="1"/>
  <c r="CD23" i="8"/>
  <c r="CB23" i="8"/>
  <c r="BZ23" i="8"/>
  <c r="BX23" i="8"/>
  <c r="BV23" i="8"/>
  <c r="BT23" i="8"/>
  <c r="BS23" i="8"/>
  <c r="BR23" i="8"/>
  <c r="BP23" i="8"/>
  <c r="BN23" i="8"/>
  <c r="BM23" i="8"/>
  <c r="BL23" i="8"/>
  <c r="BK23" i="8"/>
  <c r="BJ23" i="8"/>
  <c r="BI23" i="8"/>
  <c r="BG23" i="8"/>
  <c r="BH23" i="8" s="1"/>
  <c r="BF23" i="8"/>
  <c r="BE23" i="8"/>
  <c r="BD23" i="8"/>
  <c r="BC23" i="8"/>
  <c r="BB23" i="8"/>
  <c r="BA23" i="8"/>
  <c r="AY23" i="8"/>
  <c r="AZ23" i="8" s="1"/>
  <c r="AX23" i="8"/>
  <c r="AW23" i="8"/>
  <c r="AV23" i="8"/>
  <c r="AT23" i="8"/>
  <c r="AR23" i="8"/>
  <c r="AP23" i="8"/>
  <c r="AN23" i="8"/>
  <c r="AL23" i="8"/>
  <c r="AJ23" i="8"/>
  <c r="R23" i="8"/>
  <c r="Q23" i="8"/>
  <c r="K23" i="8"/>
  <c r="J23" i="8"/>
  <c r="E23" i="8"/>
  <c r="C23" i="8"/>
  <c r="CX22" i="8"/>
  <c r="CU22" i="8"/>
  <c r="CV22" i="8" s="1"/>
  <c r="CT22" i="8"/>
  <c r="CR22" i="8"/>
  <c r="CP22" i="8"/>
  <c r="CN22" i="8"/>
  <c r="CL22" i="8"/>
  <c r="CJ22" i="8"/>
  <c r="CI22" i="8"/>
  <c r="CH22" i="8"/>
  <c r="CE22" i="8"/>
  <c r="CF22" i="8" s="1"/>
  <c r="CD22" i="8"/>
  <c r="CB22" i="8"/>
  <c r="BZ22" i="8"/>
  <c r="BX22" i="8"/>
  <c r="BV22" i="8"/>
  <c r="BT22" i="8"/>
  <c r="BS22" i="8"/>
  <c r="BR22" i="8"/>
  <c r="BP22" i="8"/>
  <c r="BM22" i="8"/>
  <c r="BN22" i="8" s="1"/>
  <c r="BL22" i="8"/>
  <c r="BK22" i="8"/>
  <c r="BJ22" i="8"/>
  <c r="BI22" i="8"/>
  <c r="BH22" i="8"/>
  <c r="BG22" i="8"/>
  <c r="BE22" i="8"/>
  <c r="BF22" i="8" s="1"/>
  <c r="BD22" i="8"/>
  <c r="BC22" i="8"/>
  <c r="BB22" i="8"/>
  <c r="BA22" i="8"/>
  <c r="AZ22" i="8"/>
  <c r="AY22" i="8"/>
  <c r="AW22" i="8"/>
  <c r="AX22" i="8" s="1"/>
  <c r="AV22" i="8"/>
  <c r="AT22" i="8"/>
  <c r="AR22" i="8"/>
  <c r="AP22" i="8"/>
  <c r="AN22" i="8"/>
  <c r="AL22" i="8"/>
  <c r="AJ22" i="8"/>
  <c r="R22" i="8"/>
  <c r="Q22" i="8"/>
  <c r="K22" i="8"/>
  <c r="J22" i="8"/>
  <c r="E22" i="8"/>
  <c r="C22" i="8"/>
  <c r="CX21" i="8"/>
  <c r="CV21" i="8"/>
  <c r="CU21" i="8"/>
  <c r="CT21" i="8"/>
  <c r="CR21" i="8"/>
  <c r="CP21" i="8"/>
  <c r="CN21" i="8"/>
  <c r="CL21" i="8"/>
  <c r="CI21" i="8"/>
  <c r="CJ21" i="8" s="1"/>
  <c r="CH21" i="8"/>
  <c r="CE21" i="8"/>
  <c r="CF21" i="8" s="1"/>
  <c r="CD21" i="8"/>
  <c r="CB21" i="8"/>
  <c r="BZ21" i="8"/>
  <c r="BX21" i="8"/>
  <c r="BV21" i="8"/>
  <c r="BT21" i="8"/>
  <c r="BS21" i="8"/>
  <c r="BR21" i="8"/>
  <c r="BP21" i="8"/>
  <c r="BN21" i="8"/>
  <c r="BM21" i="8"/>
  <c r="BK21" i="8"/>
  <c r="BL21" i="8" s="1"/>
  <c r="BJ21" i="8"/>
  <c r="BI21" i="8"/>
  <c r="BH21" i="8"/>
  <c r="BG21" i="8"/>
  <c r="BF21" i="8"/>
  <c r="BE21" i="8"/>
  <c r="BC21" i="8"/>
  <c r="BD21" i="8" s="1"/>
  <c r="BB21" i="8"/>
  <c r="BA21" i="8"/>
  <c r="AZ21" i="8"/>
  <c r="AY21" i="8"/>
  <c r="AX21" i="8"/>
  <c r="AW21" i="8"/>
  <c r="AV21" i="8"/>
  <c r="AT21" i="8"/>
  <c r="AR21" i="8"/>
  <c r="AP21" i="8"/>
  <c r="AN21" i="8"/>
  <c r="AL21" i="8"/>
  <c r="AJ21" i="8"/>
  <c r="R21" i="8"/>
  <c r="Q21" i="8"/>
  <c r="K21" i="8"/>
  <c r="J21" i="8"/>
  <c r="E21" i="8"/>
  <c r="C21" i="8"/>
  <c r="CX20" i="8"/>
  <c r="CU20" i="8"/>
  <c r="CV20" i="8" s="1"/>
  <c r="CT20" i="8"/>
  <c r="CR20" i="8"/>
  <c r="CP20" i="8"/>
  <c r="CN20" i="8"/>
  <c r="CL20" i="8"/>
  <c r="CJ20" i="8"/>
  <c r="CI20" i="8"/>
  <c r="CH20" i="8"/>
  <c r="CF20" i="8"/>
  <c r="CE20" i="8"/>
  <c r="CD20" i="8"/>
  <c r="CB20" i="8"/>
  <c r="BZ20" i="8"/>
  <c r="BX20" i="8"/>
  <c r="BV20" i="8"/>
  <c r="BS20" i="8"/>
  <c r="BT20" i="8" s="1"/>
  <c r="BR20" i="8"/>
  <c r="BP20" i="8"/>
  <c r="BN20" i="8"/>
  <c r="BM20" i="8"/>
  <c r="BL20" i="8"/>
  <c r="BK20" i="8"/>
  <c r="BI20" i="8"/>
  <c r="BJ20" i="8" s="1"/>
  <c r="BH20" i="8"/>
  <c r="BG20" i="8"/>
  <c r="BF20" i="8"/>
  <c r="BE20" i="8"/>
  <c r="BD20" i="8"/>
  <c r="BC20" i="8"/>
  <c r="BA20" i="8"/>
  <c r="BB20" i="8" s="1"/>
  <c r="AZ20" i="8"/>
  <c r="AY20" i="8"/>
  <c r="AX20" i="8"/>
  <c r="AW20" i="8"/>
  <c r="AV20" i="8"/>
  <c r="AT20" i="8"/>
  <c r="AR20" i="8"/>
  <c r="AP20" i="8"/>
  <c r="AN20" i="8"/>
  <c r="AL20" i="8"/>
  <c r="AJ20" i="8"/>
  <c r="R20" i="8"/>
  <c r="Q20" i="8"/>
  <c r="K20" i="8"/>
  <c r="J20" i="8"/>
  <c r="E20" i="8"/>
  <c r="C20" i="8"/>
  <c r="CX19" i="8"/>
  <c r="CU19" i="8"/>
  <c r="CV19" i="8" s="1"/>
  <c r="CT19" i="8"/>
  <c r="CR19" i="8"/>
  <c r="CP19" i="8"/>
  <c r="CN19" i="8"/>
  <c r="CL19" i="8"/>
  <c r="CJ19" i="8"/>
  <c r="CI19" i="8"/>
  <c r="CH19" i="8"/>
  <c r="CE19" i="8"/>
  <c r="CF19" i="8" s="1"/>
  <c r="CD19" i="8"/>
  <c r="CB19" i="8"/>
  <c r="BZ19" i="8"/>
  <c r="BX19" i="8"/>
  <c r="BV19" i="8"/>
  <c r="BT19" i="8"/>
  <c r="BS19" i="8"/>
  <c r="BR19" i="8"/>
  <c r="BP19" i="8"/>
  <c r="BN19" i="8"/>
  <c r="BM19" i="8"/>
  <c r="BL19" i="8"/>
  <c r="BK19" i="8"/>
  <c r="BJ19" i="8"/>
  <c r="BI19" i="8"/>
  <c r="BG19" i="8"/>
  <c r="BH19" i="8" s="1"/>
  <c r="BF19" i="8"/>
  <c r="BE19" i="8"/>
  <c r="BD19" i="8"/>
  <c r="BC19" i="8"/>
  <c r="BB19" i="8"/>
  <c r="BA19" i="8"/>
  <c r="AY19" i="8"/>
  <c r="AZ19" i="8" s="1"/>
  <c r="AX19" i="8"/>
  <c r="AW19" i="8"/>
  <c r="AV19" i="8"/>
  <c r="AT19" i="8"/>
  <c r="AR19" i="8"/>
  <c r="AP19" i="8"/>
  <c r="AN19" i="8"/>
  <c r="AL19" i="8"/>
  <c r="AJ19" i="8"/>
  <c r="R19" i="8"/>
  <c r="K19" i="8"/>
  <c r="J19" i="8"/>
  <c r="E19" i="8"/>
  <c r="C19" i="8"/>
  <c r="CX18" i="8"/>
  <c r="CV18" i="8"/>
  <c r="CU18" i="8"/>
  <c r="CT18" i="8"/>
  <c r="CR18" i="8"/>
  <c r="CP18" i="8"/>
  <c r="CN18" i="8"/>
  <c r="CL18" i="8"/>
  <c r="CI18" i="8"/>
  <c r="CJ18" i="8" s="1"/>
  <c r="CH18" i="8"/>
  <c r="CE18" i="8"/>
  <c r="CF18" i="8" s="1"/>
  <c r="CD18" i="8"/>
  <c r="CB18" i="8"/>
  <c r="BZ18" i="8"/>
  <c r="BX18" i="8"/>
  <c r="BV18" i="8"/>
  <c r="BT18" i="8"/>
  <c r="BS18" i="8"/>
  <c r="BR18" i="8"/>
  <c r="BP18" i="8"/>
  <c r="BN18" i="8"/>
  <c r="BM18" i="8"/>
  <c r="BK18" i="8"/>
  <c r="BL18" i="8" s="1"/>
  <c r="BJ18" i="8"/>
  <c r="BI18" i="8"/>
  <c r="BH18" i="8"/>
  <c r="BG18" i="8"/>
  <c r="BF18" i="8"/>
  <c r="BE18" i="8"/>
  <c r="BC18" i="8"/>
  <c r="BD18" i="8" s="1"/>
  <c r="BB18" i="8"/>
  <c r="BA18" i="8"/>
  <c r="AZ18" i="8"/>
  <c r="AY18" i="8"/>
  <c r="AX18" i="8"/>
  <c r="AW18" i="8"/>
  <c r="AV18" i="8"/>
  <c r="AT18" i="8"/>
  <c r="AR18" i="8"/>
  <c r="AP18" i="8"/>
  <c r="AN18" i="8"/>
  <c r="AL18" i="8"/>
  <c r="AJ18" i="8"/>
  <c r="R18" i="8"/>
  <c r="K18" i="8"/>
  <c r="J18" i="8"/>
  <c r="E18" i="8"/>
  <c r="C18" i="8"/>
  <c r="CX17" i="8"/>
  <c r="CU17" i="8"/>
  <c r="CV17" i="8" s="1"/>
  <c r="CT17" i="8"/>
  <c r="CR17" i="8"/>
  <c r="CP17" i="8"/>
  <c r="CN17" i="8"/>
  <c r="CL17" i="8"/>
  <c r="CJ17" i="8"/>
  <c r="CI17" i="8"/>
  <c r="CH17" i="8"/>
  <c r="CE17" i="8"/>
  <c r="CF17" i="8" s="1"/>
  <c r="CD17" i="8"/>
  <c r="CB17" i="8"/>
  <c r="BZ17" i="8"/>
  <c r="BX17" i="8"/>
  <c r="BV17" i="8"/>
  <c r="BT17" i="8"/>
  <c r="BS17" i="8"/>
  <c r="BR17" i="8"/>
  <c r="BP17" i="8"/>
  <c r="BN17" i="8"/>
  <c r="BM17" i="8"/>
  <c r="BL17" i="8"/>
  <c r="BK17" i="8"/>
  <c r="BJ17" i="8"/>
  <c r="BI17" i="8"/>
  <c r="BG17" i="8"/>
  <c r="BH17" i="8" s="1"/>
  <c r="BF17" i="8"/>
  <c r="BE17" i="8"/>
  <c r="BD17" i="8"/>
  <c r="BC17" i="8"/>
  <c r="BB17" i="8"/>
  <c r="BA17" i="8"/>
  <c r="AY17" i="8"/>
  <c r="AZ17" i="8" s="1"/>
  <c r="AX17" i="8"/>
  <c r="AW17" i="8"/>
  <c r="AV17" i="8"/>
  <c r="AT17" i="8"/>
  <c r="AR17" i="8"/>
  <c r="AP17" i="8"/>
  <c r="AN17" i="8"/>
  <c r="AL17" i="8"/>
  <c r="AJ17" i="8"/>
  <c r="R17" i="8"/>
  <c r="K17" i="8"/>
  <c r="J17" i="8"/>
  <c r="E17" i="8"/>
  <c r="C17" i="8"/>
  <c r="CX16" i="8"/>
  <c r="CV16" i="8"/>
  <c r="CU16" i="8"/>
  <c r="CT16" i="8"/>
  <c r="CR16" i="8"/>
  <c r="CP16" i="8"/>
  <c r="CN16" i="8"/>
  <c r="CL16" i="8"/>
  <c r="CI16" i="8"/>
  <c r="CJ16" i="8" s="1"/>
  <c r="CH16" i="8"/>
  <c r="CE16" i="8"/>
  <c r="CF16" i="8" s="1"/>
  <c r="CD16" i="8"/>
  <c r="CB16" i="8"/>
  <c r="BZ16" i="8"/>
  <c r="BX16" i="8"/>
  <c r="BV16" i="8"/>
  <c r="BT16" i="8"/>
  <c r="BS16" i="8"/>
  <c r="BR16" i="8"/>
  <c r="BP16" i="8"/>
  <c r="BN16" i="8"/>
  <c r="BM16" i="8"/>
  <c r="BK16" i="8"/>
  <c r="BL16" i="8" s="1"/>
  <c r="BJ16" i="8"/>
  <c r="BI16" i="8"/>
  <c r="BH16" i="8"/>
  <c r="BG16" i="8"/>
  <c r="BF16" i="8"/>
  <c r="BE16" i="8"/>
  <c r="BC16" i="8"/>
  <c r="BD16" i="8" s="1"/>
  <c r="BB16" i="8"/>
  <c r="BA16" i="8"/>
  <c r="AZ16" i="8"/>
  <c r="AY16" i="8"/>
  <c r="AX16" i="8"/>
  <c r="AW16" i="8"/>
  <c r="AV16" i="8"/>
  <c r="AT16" i="8"/>
  <c r="AR16" i="8"/>
  <c r="AP16" i="8"/>
  <c r="AN16" i="8"/>
  <c r="AL16" i="8"/>
  <c r="AJ16" i="8"/>
  <c r="R16" i="8"/>
  <c r="Q16" i="8"/>
  <c r="K16" i="8"/>
  <c r="J16" i="8"/>
  <c r="E16" i="8"/>
  <c r="C16" i="8"/>
  <c r="CX15" i="8"/>
  <c r="CU15" i="8"/>
  <c r="CV15" i="8" s="1"/>
  <c r="CT15" i="8"/>
  <c r="CR15" i="8"/>
  <c r="CP15" i="8"/>
  <c r="CN15" i="8"/>
  <c r="CL15" i="8"/>
  <c r="CJ15" i="8"/>
  <c r="CI15" i="8"/>
  <c r="CH15" i="8"/>
  <c r="CE15" i="8"/>
  <c r="CF15" i="8" s="1"/>
  <c r="CD15" i="8"/>
  <c r="CB15" i="8"/>
  <c r="BZ15" i="8"/>
  <c r="BX15" i="8"/>
  <c r="BV15" i="8"/>
  <c r="BT15" i="8"/>
  <c r="BS15" i="8"/>
  <c r="BR15" i="8"/>
  <c r="BP15" i="8"/>
  <c r="BN15" i="8"/>
  <c r="BM15" i="8"/>
  <c r="BL15" i="8"/>
  <c r="BK15" i="8"/>
  <c r="BJ15" i="8"/>
  <c r="BI15" i="8"/>
  <c r="BG15" i="8"/>
  <c r="BH15" i="8" s="1"/>
  <c r="BF15" i="8"/>
  <c r="BE15" i="8"/>
  <c r="BD15" i="8"/>
  <c r="BC15" i="8"/>
  <c r="BB15" i="8"/>
  <c r="BA15" i="8"/>
  <c r="AY15" i="8"/>
  <c r="AZ15" i="8" s="1"/>
  <c r="AX15" i="8"/>
  <c r="AW15" i="8"/>
  <c r="AV15" i="8"/>
  <c r="AT15" i="8"/>
  <c r="AR15" i="8"/>
  <c r="AP15" i="8"/>
  <c r="AN15" i="8"/>
  <c r="AL15" i="8"/>
  <c r="AJ15" i="8"/>
  <c r="R15" i="8"/>
  <c r="Q15" i="8"/>
  <c r="K15" i="8"/>
  <c r="J15" i="8"/>
  <c r="E15" i="8"/>
  <c r="C15" i="8"/>
  <c r="CX14" i="8"/>
  <c r="CV14" i="8"/>
  <c r="CT14" i="8"/>
  <c r="CR14" i="8"/>
  <c r="CP14" i="8"/>
  <c r="CN14" i="8"/>
  <c r="CL14" i="8"/>
  <c r="CJ14" i="8"/>
  <c r="CH14" i="8"/>
  <c r="CF14" i="8"/>
  <c r="CD14" i="8"/>
  <c r="CB14" i="8"/>
  <c r="BZ14" i="8"/>
  <c r="BX14" i="8"/>
  <c r="BV14" i="8"/>
  <c r="BT14" i="8"/>
  <c r="BR14" i="8"/>
  <c r="BP14" i="8"/>
  <c r="BN14" i="8"/>
  <c r="BL14" i="8"/>
  <c r="BJ14" i="8"/>
  <c r="BH14" i="8"/>
  <c r="BF14" i="8"/>
  <c r="BD14" i="8"/>
  <c r="BB14" i="8"/>
  <c r="AZ14" i="8"/>
  <c r="AX14" i="8"/>
  <c r="AV14" i="8"/>
  <c r="AT14" i="8"/>
  <c r="AR14" i="8"/>
  <c r="AP14" i="8"/>
  <c r="AN14" i="8"/>
  <c r="AL14" i="8"/>
  <c r="AJ14" i="8"/>
  <c r="R14" i="8"/>
  <c r="Q14" i="8"/>
  <c r="K14" i="8"/>
  <c r="J14" i="8"/>
  <c r="C14" i="8"/>
  <c r="CX13" i="8"/>
  <c r="CV13" i="8"/>
  <c r="CT13" i="8"/>
  <c r="CR13" i="8"/>
  <c r="CP13" i="8"/>
  <c r="CN13" i="8"/>
  <c r="CL13" i="8"/>
  <c r="CJ13" i="8"/>
  <c r="CH13" i="8"/>
  <c r="CF13" i="8"/>
  <c r="CD13" i="8"/>
  <c r="CB13" i="8"/>
  <c r="BZ13" i="8"/>
  <c r="BX13" i="8"/>
  <c r="BV13" i="8"/>
  <c r="BT13" i="8"/>
  <c r="BR13" i="8"/>
  <c r="BP13" i="8"/>
  <c r="BN13" i="8"/>
  <c r="BL13" i="8"/>
  <c r="BJ13" i="8"/>
  <c r="BH13" i="8"/>
  <c r="BF13" i="8"/>
  <c r="BD13" i="8"/>
  <c r="BB13" i="8"/>
  <c r="AZ13" i="8"/>
  <c r="AX13" i="8"/>
  <c r="AV13" i="8"/>
  <c r="AT13" i="8"/>
  <c r="AR13" i="8"/>
  <c r="AP13" i="8"/>
  <c r="AN13" i="8"/>
  <c r="AL13" i="8"/>
  <c r="AJ13" i="8"/>
  <c r="R13" i="8"/>
  <c r="Q13" i="8"/>
  <c r="K13" i="8"/>
  <c r="J13" i="8"/>
  <c r="E13" i="8"/>
  <c r="C13" i="8"/>
  <c r="CX12" i="8"/>
  <c r="CV12" i="8"/>
  <c r="CU12" i="8"/>
  <c r="CT12" i="8"/>
  <c r="CR12" i="8"/>
  <c r="CP12" i="8"/>
  <c r="CN12" i="8"/>
  <c r="CL12" i="8"/>
  <c r="CI12" i="8"/>
  <c r="CJ12" i="8" s="1"/>
  <c r="CH12" i="8"/>
  <c r="CE12" i="8"/>
  <c r="CF12" i="8" s="1"/>
  <c r="CD12" i="8"/>
  <c r="CB12" i="8"/>
  <c r="BZ12" i="8"/>
  <c r="BX12" i="8"/>
  <c r="BV12" i="8"/>
  <c r="BS12" i="8"/>
  <c r="BT12" i="8" s="1"/>
  <c r="BR12" i="8"/>
  <c r="BP12" i="8"/>
  <c r="BM12" i="8"/>
  <c r="BN12" i="8" s="1"/>
  <c r="BK12" i="8"/>
  <c r="BL12" i="8" s="1"/>
  <c r="BI12" i="8"/>
  <c r="BJ12" i="8" s="1"/>
  <c r="BH12" i="8"/>
  <c r="BG12" i="8"/>
  <c r="BE12" i="8"/>
  <c r="BF12" i="8" s="1"/>
  <c r="BC12" i="8"/>
  <c r="BD12" i="8" s="1"/>
  <c r="BA12" i="8"/>
  <c r="BB12" i="8" s="1"/>
  <c r="AZ12" i="8"/>
  <c r="AY12" i="8"/>
  <c r="AW12" i="8"/>
  <c r="AX12" i="8" s="1"/>
  <c r="AV12" i="8"/>
  <c r="AT12" i="8"/>
  <c r="AR12" i="8"/>
  <c r="AP12" i="8"/>
  <c r="AN12" i="8"/>
  <c r="AL12" i="8"/>
  <c r="AJ12" i="8"/>
  <c r="R12" i="8"/>
  <c r="Q12" i="8"/>
  <c r="K12" i="8"/>
  <c r="J12" i="8"/>
  <c r="E12" i="8"/>
  <c r="C12" i="8"/>
  <c r="CX11" i="8"/>
  <c r="CV11" i="8"/>
  <c r="CU11" i="8"/>
  <c r="CT11" i="8"/>
  <c r="CR11" i="8"/>
  <c r="CP11" i="8"/>
  <c r="CN11" i="8"/>
  <c r="CL11" i="8"/>
  <c r="CI11" i="8"/>
  <c r="CJ11" i="8" s="1"/>
  <c r="CH11" i="8"/>
  <c r="CF11" i="8"/>
  <c r="CE11" i="8"/>
  <c r="CD11" i="8"/>
  <c r="CB11" i="8"/>
  <c r="BZ11" i="8"/>
  <c r="BX11" i="8"/>
  <c r="BV11" i="8"/>
  <c r="BS11" i="8"/>
  <c r="BT11" i="8" s="1"/>
  <c r="BR11" i="8"/>
  <c r="BP11" i="8"/>
  <c r="BN11" i="8"/>
  <c r="BM11" i="8"/>
  <c r="BK11" i="8"/>
  <c r="BL11" i="8" s="1"/>
  <c r="BI11" i="8"/>
  <c r="BJ11" i="8" s="1"/>
  <c r="BG11" i="8"/>
  <c r="BH11" i="8" s="1"/>
  <c r="BF11" i="8"/>
  <c r="BE11" i="8"/>
  <c r="BC11" i="8"/>
  <c r="BD11" i="8" s="1"/>
  <c r="BA11" i="8"/>
  <c r="BB11" i="8" s="1"/>
  <c r="AY11" i="8"/>
  <c r="AZ11" i="8" s="1"/>
  <c r="AX11" i="8"/>
  <c r="AW11" i="8"/>
  <c r="AV11" i="8"/>
  <c r="AT11" i="8"/>
  <c r="AR11" i="8"/>
  <c r="AP11" i="8"/>
  <c r="AN11" i="8"/>
  <c r="AL11" i="8"/>
  <c r="AJ11" i="8"/>
  <c r="R11" i="8"/>
  <c r="Q11" i="8"/>
  <c r="K11" i="8"/>
  <c r="J11" i="8"/>
  <c r="E11" i="8"/>
  <c r="C11" i="8"/>
  <c r="CX10" i="8"/>
  <c r="CV10" i="8"/>
  <c r="CU10" i="8"/>
  <c r="CT10" i="8"/>
  <c r="CR10" i="8"/>
  <c r="CP10" i="8"/>
  <c r="CN10" i="8"/>
  <c r="CL10" i="8"/>
  <c r="CJ10" i="8"/>
  <c r="CI10" i="8"/>
  <c r="CH10" i="8"/>
  <c r="CF10" i="8"/>
  <c r="CE10" i="8"/>
  <c r="CD10" i="8"/>
  <c r="CB10" i="8"/>
  <c r="BZ10" i="8"/>
  <c r="BX10" i="8"/>
  <c r="BV10" i="8"/>
  <c r="BS10" i="8"/>
  <c r="BT10" i="8" s="1"/>
  <c r="BR10" i="8"/>
  <c r="BP10" i="8"/>
  <c r="BM10" i="8"/>
  <c r="BN10" i="8" s="1"/>
  <c r="BL10" i="8"/>
  <c r="BK10" i="8"/>
  <c r="BI10" i="8"/>
  <c r="BJ10" i="8" s="1"/>
  <c r="BG10" i="8"/>
  <c r="BH10" i="8" s="1"/>
  <c r="BE10" i="8"/>
  <c r="BF10" i="8" s="1"/>
  <c r="BD10" i="8"/>
  <c r="BC10" i="8"/>
  <c r="BA10" i="8"/>
  <c r="BB10" i="8" s="1"/>
  <c r="AY10" i="8"/>
  <c r="AZ10" i="8" s="1"/>
  <c r="AW10" i="8"/>
  <c r="AX10" i="8" s="1"/>
  <c r="AV10" i="8"/>
  <c r="AT10" i="8"/>
  <c r="AR10" i="8"/>
  <c r="AP10" i="8"/>
  <c r="AN10" i="8"/>
  <c r="AL10" i="8"/>
  <c r="AJ10" i="8"/>
  <c r="R10" i="8"/>
  <c r="Q10" i="8"/>
  <c r="K10" i="8"/>
  <c r="J10" i="8"/>
  <c r="E10" i="8"/>
  <c r="C10" i="8"/>
  <c r="CX9" i="8"/>
  <c r="CU9" i="8"/>
  <c r="CV9" i="8" s="1"/>
  <c r="CT9" i="8"/>
  <c r="CR9" i="8"/>
  <c r="CP9" i="8"/>
  <c r="CN9" i="8"/>
  <c r="CL9" i="8"/>
  <c r="CI9" i="8"/>
  <c r="CJ9" i="8" s="1"/>
  <c r="CH9" i="8"/>
  <c r="CF9" i="8"/>
  <c r="CE9" i="8"/>
  <c r="CD9" i="8"/>
  <c r="CB9" i="8"/>
  <c r="BZ9" i="8"/>
  <c r="BX9" i="8"/>
  <c r="BV9" i="8"/>
  <c r="BT9" i="8"/>
  <c r="BS9" i="8"/>
  <c r="BR9" i="8"/>
  <c r="BP9" i="8"/>
  <c r="BM9" i="8"/>
  <c r="BN9" i="8" s="1"/>
  <c r="BK9" i="8"/>
  <c r="BL9" i="8" s="1"/>
  <c r="BJ9" i="8"/>
  <c r="BI9" i="8"/>
  <c r="BG9" i="8"/>
  <c r="BH9" i="8" s="1"/>
  <c r="BE9" i="8"/>
  <c r="BF9" i="8" s="1"/>
  <c r="BC9" i="8"/>
  <c r="BD9" i="8" s="1"/>
  <c r="BB9" i="8"/>
  <c r="BA9" i="8"/>
  <c r="AY9" i="8"/>
  <c r="AZ9" i="8" s="1"/>
  <c r="AW9" i="8"/>
  <c r="AX9" i="8" s="1"/>
  <c r="AV9" i="8"/>
  <c r="AT9" i="8"/>
  <c r="AR9" i="8"/>
  <c r="AP9" i="8"/>
  <c r="AN9" i="8"/>
  <c r="AL9" i="8"/>
  <c r="AJ9" i="8"/>
  <c r="R9" i="8"/>
  <c r="Q9" i="8"/>
  <c r="K9" i="8"/>
  <c r="J9" i="8"/>
  <c r="E9" i="8"/>
  <c r="C9" i="8"/>
  <c r="CX8" i="8"/>
  <c r="CV8" i="8"/>
  <c r="CU8" i="8"/>
  <c r="CT8" i="8"/>
  <c r="CR8" i="8"/>
  <c r="CP8" i="8"/>
  <c r="CN8" i="8"/>
  <c r="CL8" i="8"/>
  <c r="CI8" i="8"/>
  <c r="CJ8" i="8" s="1"/>
  <c r="CH8" i="8"/>
  <c r="CE8" i="8"/>
  <c r="CF8" i="8" s="1"/>
  <c r="CD8" i="8"/>
  <c r="CB8" i="8"/>
  <c r="BZ8" i="8"/>
  <c r="BX8" i="8"/>
  <c r="BV8" i="8"/>
  <c r="BT8" i="8"/>
  <c r="BS8" i="8"/>
  <c r="BR8" i="8"/>
  <c r="BP8" i="8"/>
  <c r="BM8" i="8"/>
  <c r="BN8" i="8" s="1"/>
  <c r="BK8" i="8"/>
  <c r="BL8" i="8" s="1"/>
  <c r="BJ8" i="8"/>
  <c r="BI8" i="8"/>
  <c r="BH8" i="8"/>
  <c r="BG8" i="8"/>
  <c r="BE8" i="8"/>
  <c r="BF8" i="8" s="1"/>
  <c r="BC8" i="8"/>
  <c r="BD8" i="8" s="1"/>
  <c r="BB8" i="8"/>
  <c r="BA8" i="8"/>
  <c r="AZ8" i="8"/>
  <c r="AY8" i="8"/>
  <c r="AW8" i="8"/>
  <c r="AX8" i="8" s="1"/>
  <c r="AV8" i="8"/>
  <c r="AT8" i="8"/>
  <c r="AR8" i="8"/>
  <c r="AP8" i="8"/>
  <c r="AN8" i="8"/>
  <c r="AL8" i="8"/>
  <c r="AJ8" i="8"/>
  <c r="R8" i="8"/>
  <c r="Q8" i="8"/>
  <c r="K8" i="8"/>
  <c r="J8" i="8"/>
  <c r="E8" i="8"/>
  <c r="C8" i="8"/>
  <c r="CX7" i="8"/>
  <c r="CV7" i="8"/>
  <c r="CU7" i="8"/>
  <c r="CT7" i="8"/>
  <c r="CR7" i="8"/>
  <c r="CP7" i="8"/>
  <c r="CN7" i="8"/>
  <c r="CL7" i="8"/>
  <c r="CI7" i="8"/>
  <c r="CJ7" i="8" s="1"/>
  <c r="CH7" i="8"/>
  <c r="CF7" i="8"/>
  <c r="CE7" i="8"/>
  <c r="CD7" i="8"/>
  <c r="CB7" i="8"/>
  <c r="BZ7" i="8"/>
  <c r="BX7" i="8"/>
  <c r="BV7" i="8"/>
  <c r="BS7" i="8"/>
  <c r="BT7" i="8" s="1"/>
  <c r="BR7" i="8"/>
  <c r="BP7" i="8"/>
  <c r="BN7" i="8"/>
  <c r="BM7" i="8"/>
  <c r="BK7" i="8"/>
  <c r="BL7" i="8" s="1"/>
  <c r="BI7" i="8"/>
  <c r="BJ7" i="8" s="1"/>
  <c r="BH7" i="8"/>
  <c r="BG7" i="8"/>
  <c r="BF7" i="8"/>
  <c r="BE7" i="8"/>
  <c r="BC7" i="8"/>
  <c r="BD7" i="8" s="1"/>
  <c r="BA7" i="8"/>
  <c r="BB7" i="8" s="1"/>
  <c r="AZ7" i="8"/>
  <c r="AY7" i="8"/>
  <c r="AX7" i="8"/>
  <c r="AW7" i="8"/>
  <c r="AV7" i="8"/>
  <c r="AT7" i="8"/>
  <c r="AR7" i="8"/>
  <c r="AP7" i="8"/>
  <c r="AN7" i="8"/>
  <c r="AL7" i="8"/>
  <c r="AJ7" i="8"/>
  <c r="R7" i="8"/>
  <c r="Q7" i="8"/>
  <c r="K7" i="8"/>
  <c r="J7" i="8"/>
  <c r="E7" i="8"/>
  <c r="C7" i="8"/>
  <c r="CX6" i="8"/>
  <c r="CV6" i="8"/>
  <c r="CU6" i="8"/>
  <c r="CT6" i="8"/>
  <c r="CR6" i="8"/>
  <c r="CP6" i="8"/>
  <c r="CN6" i="8"/>
  <c r="CL6" i="8"/>
  <c r="CJ6" i="8"/>
  <c r="CI6" i="8"/>
  <c r="CH6" i="8"/>
  <c r="CF6" i="8"/>
  <c r="CE6" i="8"/>
  <c r="CD6" i="8"/>
  <c r="CB6" i="8"/>
  <c r="BZ6" i="8"/>
  <c r="BX6" i="8"/>
  <c r="BV6" i="8"/>
  <c r="BS6" i="8"/>
  <c r="BT6" i="8" s="1"/>
  <c r="BR6" i="8"/>
  <c r="BP6" i="8"/>
  <c r="BM6" i="8"/>
  <c r="BN6" i="8" s="1"/>
  <c r="BL6" i="8"/>
  <c r="BK6" i="8"/>
  <c r="BI6" i="8"/>
  <c r="BJ6" i="8" s="1"/>
  <c r="BG6" i="8"/>
  <c r="BH6" i="8" s="1"/>
  <c r="BE6" i="8"/>
  <c r="BF6" i="8" s="1"/>
  <c r="BD6" i="8"/>
  <c r="BC6" i="8"/>
  <c r="BA6" i="8"/>
  <c r="BB6" i="8" s="1"/>
  <c r="AY6" i="8"/>
  <c r="AZ6" i="8" s="1"/>
  <c r="AW6" i="8"/>
  <c r="AX6" i="8" s="1"/>
  <c r="AV6" i="8"/>
  <c r="AT6" i="8"/>
  <c r="AR6" i="8"/>
  <c r="AP6" i="8"/>
  <c r="AN6" i="8"/>
  <c r="AL6" i="8"/>
  <c r="AJ6" i="8"/>
  <c r="R6" i="8"/>
  <c r="Q6" i="8"/>
  <c r="K6" i="8"/>
  <c r="J6" i="8"/>
  <c r="E6" i="8"/>
  <c r="C6" i="8"/>
  <c r="CX5" i="8"/>
  <c r="CU5" i="8"/>
  <c r="CV5" i="8" s="1"/>
  <c r="CT5" i="8"/>
  <c r="CR5" i="8"/>
  <c r="CP5" i="8"/>
  <c r="CN5" i="8"/>
  <c r="CL5" i="8"/>
  <c r="CI5" i="8"/>
  <c r="CJ5" i="8" s="1"/>
  <c r="CH5" i="8"/>
  <c r="CF5" i="8"/>
  <c r="CE5" i="8"/>
  <c r="CD5" i="8"/>
  <c r="CB5" i="8"/>
  <c r="BZ5" i="8"/>
  <c r="BX5" i="8"/>
  <c r="BV5" i="8"/>
  <c r="BT5" i="8"/>
  <c r="BS5" i="8"/>
  <c r="BR5" i="8"/>
  <c r="BP5" i="8"/>
  <c r="BM5" i="8"/>
  <c r="BN5" i="8" s="1"/>
  <c r="BK5" i="8"/>
  <c r="BL5" i="8" s="1"/>
  <c r="BJ5" i="8"/>
  <c r="BI5" i="8"/>
  <c r="BG5" i="8"/>
  <c r="BH5" i="8" s="1"/>
  <c r="BE5" i="8"/>
  <c r="BF5" i="8" s="1"/>
  <c r="BC5" i="8"/>
  <c r="BD5" i="8" s="1"/>
  <c r="BB5" i="8"/>
  <c r="BA5" i="8"/>
  <c r="AY5" i="8"/>
  <c r="AZ5" i="8" s="1"/>
  <c r="AW5" i="8"/>
  <c r="AX5" i="8" s="1"/>
  <c r="AV5" i="8"/>
  <c r="AT5" i="8"/>
  <c r="AR5" i="8"/>
  <c r="AP5" i="8"/>
  <c r="AN5" i="8"/>
  <c r="AL5" i="8"/>
  <c r="AJ5" i="8"/>
  <c r="R5" i="8"/>
  <c r="Q5" i="8"/>
  <c r="K5" i="8"/>
  <c r="J5" i="8"/>
  <c r="E5" i="8"/>
  <c r="C5" i="8"/>
  <c r="O19" i="1"/>
  <c r="O18" i="1"/>
  <c r="O17" i="1"/>
  <c r="O16" i="1"/>
  <c r="O15" i="1"/>
  <c r="O14" i="1"/>
  <c r="O13" i="1"/>
  <c r="L35" i="5"/>
  <c r="H35" i="5"/>
  <c r="E34" i="5"/>
  <c r="F34" i="5" s="1"/>
  <c r="J33" i="5"/>
  <c r="L33" i="5" s="1"/>
  <c r="H33" i="5"/>
  <c r="E33" i="5"/>
  <c r="F33" i="5" s="1"/>
  <c r="E32" i="5"/>
  <c r="J32" i="5" s="1"/>
  <c r="E31" i="5"/>
  <c r="J31" i="5" s="1"/>
  <c r="J30" i="5"/>
  <c r="L30" i="5" s="1"/>
  <c r="H30" i="5"/>
  <c r="F30" i="5"/>
  <c r="E30" i="5"/>
  <c r="E29" i="5"/>
  <c r="J29" i="5" s="1"/>
  <c r="J28" i="5"/>
  <c r="H28" i="5" s="1"/>
  <c r="E28" i="5"/>
  <c r="F28" i="5" s="1"/>
  <c r="L20" i="5"/>
  <c r="H20" i="5"/>
  <c r="E19" i="5"/>
  <c r="J19" i="5" s="1"/>
  <c r="E18" i="5"/>
  <c r="J18" i="5" s="1"/>
  <c r="J17" i="5"/>
  <c r="L17" i="5" s="1"/>
  <c r="H17" i="5"/>
  <c r="E17" i="5"/>
  <c r="F17" i="5" s="1"/>
  <c r="E16" i="5"/>
  <c r="J16" i="5" s="1"/>
  <c r="E15" i="5"/>
  <c r="J15" i="5" s="1"/>
  <c r="J14" i="5"/>
  <c r="L14" i="5" s="1"/>
  <c r="H14" i="5"/>
  <c r="F14" i="5"/>
  <c r="E14" i="5"/>
  <c r="E13" i="5"/>
  <c r="J13" i="5" s="1"/>
  <c r="J12" i="5"/>
  <c r="H12" i="5" s="1"/>
  <c r="E12" i="5"/>
  <c r="F12" i="5" s="1"/>
  <c r="E11" i="5"/>
  <c r="J11" i="5" s="1"/>
  <c r="E10" i="5"/>
  <c r="J10" i="5" s="1"/>
  <c r="J9" i="5"/>
  <c r="L9" i="5" s="1"/>
  <c r="H9" i="5"/>
  <c r="E9" i="5"/>
  <c r="F9" i="5" s="1"/>
  <c r="E8" i="5"/>
  <c r="J8" i="5" s="1"/>
  <c r="E7" i="5"/>
  <c r="J7" i="5" s="1"/>
  <c r="J6" i="5"/>
  <c r="L6" i="5" s="1"/>
  <c r="H6" i="5"/>
  <c r="F6" i="5"/>
  <c r="E6" i="5"/>
  <c r="E5" i="5"/>
  <c r="J5" i="5" s="1"/>
  <c r="L35" i="4"/>
  <c r="H35" i="4"/>
  <c r="J34" i="4"/>
  <c r="L34" i="4" s="1"/>
  <c r="E34" i="4"/>
  <c r="F34" i="4" s="1"/>
  <c r="J33" i="4"/>
  <c r="L33" i="4" s="1"/>
  <c r="H33" i="4"/>
  <c r="E33" i="4"/>
  <c r="F33" i="4" s="1"/>
  <c r="E32" i="4"/>
  <c r="J32" i="4" s="1"/>
  <c r="L31" i="4"/>
  <c r="J31" i="4"/>
  <c r="H31" i="4"/>
  <c r="E31" i="4"/>
  <c r="F31" i="4" s="1"/>
  <c r="J30" i="4"/>
  <c r="L30" i="4" s="1"/>
  <c r="H30" i="4"/>
  <c r="F30" i="4"/>
  <c r="E30" i="4"/>
  <c r="E29" i="4"/>
  <c r="J29" i="4" s="1"/>
  <c r="J28" i="4"/>
  <c r="H28" i="4" s="1"/>
  <c r="F28" i="4"/>
  <c r="E28" i="4"/>
  <c r="L20" i="4"/>
  <c r="H20" i="4"/>
  <c r="E19" i="4"/>
  <c r="J19" i="4" s="1"/>
  <c r="J18" i="4"/>
  <c r="L18" i="4" s="1"/>
  <c r="E18" i="4"/>
  <c r="F18" i="4" s="1"/>
  <c r="J17" i="4"/>
  <c r="L17" i="4" s="1"/>
  <c r="H17" i="4"/>
  <c r="E17" i="4"/>
  <c r="F17" i="4" s="1"/>
  <c r="E16" i="4"/>
  <c r="J16" i="4" s="1"/>
  <c r="L15" i="4"/>
  <c r="J15" i="4"/>
  <c r="H15" i="4"/>
  <c r="E15" i="4"/>
  <c r="F15" i="4" s="1"/>
  <c r="J14" i="4"/>
  <c r="L14" i="4" s="1"/>
  <c r="H14" i="4"/>
  <c r="F14" i="4"/>
  <c r="E14" i="4"/>
  <c r="E13" i="4"/>
  <c r="J13" i="4" s="1"/>
  <c r="J12" i="4"/>
  <c r="H12" i="4" s="1"/>
  <c r="F12" i="4"/>
  <c r="E12" i="4"/>
  <c r="E11" i="4"/>
  <c r="J11" i="4" s="1"/>
  <c r="J10" i="4"/>
  <c r="L10" i="4" s="1"/>
  <c r="E10" i="4"/>
  <c r="F10" i="4" s="1"/>
  <c r="J9" i="4"/>
  <c r="L9" i="4" s="1"/>
  <c r="H9" i="4"/>
  <c r="E9" i="4"/>
  <c r="F9" i="4" s="1"/>
  <c r="E8" i="4"/>
  <c r="J8" i="4" s="1"/>
  <c r="L7" i="4"/>
  <c r="J7" i="4"/>
  <c r="H7" i="4"/>
  <c r="E7" i="4"/>
  <c r="F7" i="4" s="1"/>
  <c r="J6" i="4"/>
  <c r="L6" i="4" s="1"/>
  <c r="H6" i="4"/>
  <c r="F6" i="4"/>
  <c r="E6" i="4"/>
  <c r="E5" i="4"/>
  <c r="J5" i="4" s="1"/>
  <c r="T10" i="8" l="1"/>
  <c r="T5" i="8"/>
  <c r="T23" i="8"/>
  <c r="T27" i="8"/>
  <c r="T9" i="8"/>
  <c r="T24" i="8"/>
  <c r="C2" i="8"/>
  <c r="T20" i="8"/>
  <c r="T7" i="8"/>
  <c r="T11" i="8"/>
  <c r="E42" i="8"/>
  <c r="T6" i="8"/>
  <c r="T22" i="8"/>
  <c r="T12" i="8"/>
  <c r="T26" i="8"/>
  <c r="T8" i="8"/>
  <c r="T19" i="8"/>
  <c r="T14" i="8"/>
  <c r="T18" i="8"/>
  <c r="T15" i="8"/>
  <c r="T17" i="8"/>
  <c r="T16" i="8"/>
  <c r="T21" i="8"/>
  <c r="T25" i="8"/>
  <c r="T13" i="8"/>
  <c r="L11" i="5"/>
  <c r="H11" i="5"/>
  <c r="H15" i="5"/>
  <c r="L15" i="5"/>
  <c r="H31" i="5"/>
  <c r="L31" i="5"/>
  <c r="L16" i="5"/>
  <c r="H16" i="5"/>
  <c r="L32" i="5"/>
  <c r="H32" i="5"/>
  <c r="H7" i="5"/>
  <c r="L7" i="5"/>
  <c r="L8" i="5"/>
  <c r="H8" i="5"/>
  <c r="L13" i="5"/>
  <c r="H13" i="5"/>
  <c r="L29" i="5"/>
  <c r="H29" i="5"/>
  <c r="L5" i="5"/>
  <c r="H5" i="5"/>
  <c r="J21" i="5"/>
  <c r="J22" i="5" s="1"/>
  <c r="L18" i="5"/>
  <c r="H18" i="5"/>
  <c r="L19" i="5"/>
  <c r="H19" i="5"/>
  <c r="L10" i="5"/>
  <c r="H10" i="5"/>
  <c r="F11" i="5"/>
  <c r="L12" i="5"/>
  <c r="F19" i="5"/>
  <c r="L28" i="5"/>
  <c r="F8" i="5"/>
  <c r="F16" i="5"/>
  <c r="F32" i="5"/>
  <c r="F5" i="5"/>
  <c r="F13" i="5"/>
  <c r="F10" i="5"/>
  <c r="J34" i="5"/>
  <c r="F29" i="5"/>
  <c r="F18" i="5"/>
  <c r="F7" i="5"/>
  <c r="F15" i="5"/>
  <c r="F31" i="5"/>
  <c r="L11" i="4"/>
  <c r="H11" i="4"/>
  <c r="L5" i="4"/>
  <c r="H5" i="4"/>
  <c r="J21" i="4"/>
  <c r="L29" i="4"/>
  <c r="H29" i="4"/>
  <c r="L8" i="4"/>
  <c r="H8" i="4"/>
  <c r="L32" i="4"/>
  <c r="H32" i="4"/>
  <c r="L19" i="4"/>
  <c r="H19" i="4"/>
  <c r="L13" i="4"/>
  <c r="H13" i="4"/>
  <c r="L16" i="4"/>
  <c r="H16" i="4"/>
  <c r="F11" i="4"/>
  <c r="F19" i="4"/>
  <c r="L28" i="4"/>
  <c r="F8" i="4"/>
  <c r="F16" i="4"/>
  <c r="F32" i="4"/>
  <c r="F5" i="4"/>
  <c r="F13" i="4"/>
  <c r="F29" i="4"/>
  <c r="J36" i="4"/>
  <c r="J37" i="4" s="1"/>
  <c r="H10" i="4"/>
  <c r="H18" i="4"/>
  <c r="H34" i="4"/>
  <c r="L12" i="4"/>
  <c r="H22" i="5" l="1"/>
  <c r="H21" i="5"/>
  <c r="L21" i="5"/>
  <c r="L22" i="5" s="1"/>
  <c r="L34" i="5"/>
  <c r="H34" i="5"/>
  <c r="J36" i="5"/>
  <c r="H21" i="4"/>
  <c r="L21" i="4"/>
  <c r="J22" i="4"/>
  <c r="H22" i="4"/>
  <c r="L22" i="4"/>
  <c r="L36" i="4"/>
  <c r="L37" i="4" s="1"/>
  <c r="H36" i="4"/>
  <c r="H37" i="4" s="1"/>
  <c r="L36" i="5" l="1"/>
  <c r="L37" i="5" s="1"/>
  <c r="H36" i="5"/>
  <c r="J37" i="5"/>
  <c r="H37" i="5"/>
  <c r="CN7" i="1" l="1"/>
  <c r="CX14" i="1"/>
  <c r="CV14" i="1"/>
  <c r="CT14" i="1"/>
  <c r="CR14" i="1"/>
  <c r="CP14" i="1"/>
  <c r="CN14" i="1"/>
  <c r="CL14" i="1"/>
  <c r="CJ14" i="1"/>
  <c r="CH14" i="1"/>
  <c r="CF14" i="1"/>
  <c r="CD14" i="1"/>
  <c r="CB14" i="1"/>
  <c r="BZ14" i="1"/>
  <c r="BX14" i="1"/>
  <c r="BV14" i="1"/>
  <c r="BT14" i="1"/>
  <c r="BR14" i="1"/>
  <c r="BP14" i="1"/>
  <c r="BN14" i="1"/>
  <c r="BL14" i="1"/>
  <c r="BJ14" i="1"/>
  <c r="BH14" i="1"/>
  <c r="BF14" i="1"/>
  <c r="BD14" i="1"/>
  <c r="BB14" i="1"/>
  <c r="AZ14" i="1"/>
  <c r="AX14" i="1"/>
  <c r="AV14" i="1"/>
  <c r="AT14" i="1"/>
  <c r="AR14" i="1"/>
  <c r="AP14" i="1"/>
  <c r="AN14" i="1"/>
  <c r="AL14" i="1"/>
  <c r="AJ14" i="1"/>
  <c r="J14" i="1"/>
  <c r="K14" i="1"/>
  <c r="C14" i="1"/>
  <c r="Q19" i="1"/>
  <c r="Q18" i="1"/>
  <c r="Q17" i="1"/>
  <c r="Q16" i="1"/>
  <c r="Q15" i="1"/>
  <c r="Q14" i="1"/>
  <c r="Q13" i="1"/>
  <c r="W16" i="1"/>
  <c r="Q12" i="1"/>
  <c r="AE19" i="1"/>
  <c r="AE18" i="1"/>
  <c r="AE17" i="1"/>
  <c r="AE16" i="1"/>
  <c r="AE15" i="1"/>
  <c r="AE14" i="1"/>
  <c r="AE13" i="1"/>
  <c r="AC19" i="1"/>
  <c r="AC18" i="1"/>
  <c r="AC17" i="1"/>
  <c r="AC16" i="1"/>
  <c r="AC15" i="1"/>
  <c r="AC14" i="1"/>
  <c r="AC13" i="1"/>
  <c r="AA19" i="1"/>
  <c r="AA18" i="1"/>
  <c r="AA17" i="1"/>
  <c r="AA16" i="1"/>
  <c r="AA15" i="1"/>
  <c r="AA14" i="1"/>
  <c r="AA13" i="1"/>
  <c r="Y19" i="1"/>
  <c r="Y18" i="1"/>
  <c r="Y17" i="1"/>
  <c r="Y16" i="1"/>
  <c r="Y15" i="1"/>
  <c r="Y14" i="1"/>
  <c r="Y13" i="1"/>
  <c r="W19" i="1"/>
  <c r="W18" i="1"/>
  <c r="W17" i="1"/>
  <c r="W15" i="1"/>
  <c r="W14" i="1"/>
  <c r="W13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Q6" i="1"/>
  <c r="Q7" i="1"/>
  <c r="Q8" i="1"/>
  <c r="Q9" i="1"/>
  <c r="Q10" i="1"/>
  <c r="Q11" i="1"/>
  <c r="Q20" i="1"/>
  <c r="Q21" i="1"/>
  <c r="Q22" i="1"/>
  <c r="Q23" i="1"/>
  <c r="Q24" i="1"/>
  <c r="Q25" i="1"/>
  <c r="Q26" i="1"/>
  <c r="Q27" i="1"/>
  <c r="Q5" i="1"/>
  <c r="K6" i="1"/>
  <c r="K7" i="1"/>
  <c r="K8" i="1"/>
  <c r="K9" i="1"/>
  <c r="K10" i="1"/>
  <c r="K11" i="1"/>
  <c r="K12" i="1"/>
  <c r="K13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5" i="1"/>
  <c r="J6" i="1"/>
  <c r="J7" i="1"/>
  <c r="J8" i="1"/>
  <c r="J9" i="1"/>
  <c r="J10" i="1"/>
  <c r="J11" i="1"/>
  <c r="J12" i="1"/>
  <c r="J13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5" i="1"/>
  <c r="CX37" i="1" l="1"/>
  <c r="CV37" i="1"/>
  <c r="CT37" i="1"/>
  <c r="CR37" i="1"/>
  <c r="CP37" i="1"/>
  <c r="CN37" i="1"/>
  <c r="CL37" i="1"/>
  <c r="CJ37" i="1"/>
  <c r="CH37" i="1"/>
  <c r="CF37" i="1"/>
  <c r="CD37" i="1"/>
  <c r="CB37" i="1"/>
  <c r="BZ37" i="1"/>
  <c r="BX37" i="1"/>
  <c r="BV37" i="1"/>
  <c r="BR37" i="1"/>
  <c r="AP37" i="1"/>
  <c r="AR37" i="1"/>
  <c r="AT37" i="1"/>
  <c r="AV37" i="1"/>
  <c r="AX37" i="1"/>
  <c r="AZ37" i="1"/>
  <c r="BB37" i="1"/>
  <c r="BD37" i="1"/>
  <c r="BF37" i="1"/>
  <c r="BH37" i="1"/>
  <c r="BJ37" i="1"/>
  <c r="BL37" i="1"/>
  <c r="BN37" i="1"/>
  <c r="BP37" i="1"/>
  <c r="AN37" i="1"/>
  <c r="C5" i="1"/>
  <c r="C37" i="1"/>
  <c r="E37" i="1" l="1"/>
  <c r="C18" i="1"/>
  <c r="E6" i="1"/>
  <c r="E7" i="1"/>
  <c r="E8" i="1"/>
  <c r="E9" i="1"/>
  <c r="E10" i="1"/>
  <c r="E11" i="1"/>
  <c r="E12" i="1"/>
  <c r="E13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8" i="1"/>
  <c r="E39" i="1"/>
  <c r="E40" i="1"/>
  <c r="E41" i="1"/>
  <c r="E5" i="1"/>
  <c r="F42" i="1"/>
  <c r="C6" i="1"/>
  <c r="C7" i="1"/>
  <c r="C8" i="1"/>
  <c r="C9" i="1"/>
  <c r="C10" i="1"/>
  <c r="C11" i="1"/>
  <c r="C12" i="1"/>
  <c r="C13" i="1"/>
  <c r="C15" i="1"/>
  <c r="C16" i="1"/>
  <c r="C17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8" i="1"/>
  <c r="C39" i="1"/>
  <c r="C40" i="1"/>
  <c r="C41" i="1"/>
  <c r="CX6" i="1"/>
  <c r="CX7" i="1"/>
  <c r="CX8" i="1"/>
  <c r="CX9" i="1"/>
  <c r="CX10" i="1"/>
  <c r="CX11" i="1"/>
  <c r="CX12" i="1"/>
  <c r="CX13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8" i="1"/>
  <c r="CX39" i="1"/>
  <c r="CX40" i="1"/>
  <c r="CX41" i="1"/>
  <c r="CX5" i="1"/>
  <c r="CV13" i="1"/>
  <c r="CV26" i="1"/>
  <c r="CV27" i="1"/>
  <c r="CV28" i="1"/>
  <c r="CV29" i="1"/>
  <c r="CV30" i="1"/>
  <c r="CV31" i="1"/>
  <c r="CV32" i="1"/>
  <c r="CV33" i="1"/>
  <c r="CV34" i="1"/>
  <c r="CV35" i="1"/>
  <c r="CV36" i="1"/>
  <c r="CV38" i="1"/>
  <c r="CV39" i="1"/>
  <c r="CV40" i="1"/>
  <c r="CV41" i="1"/>
  <c r="CT6" i="1"/>
  <c r="CT7" i="1"/>
  <c r="CT8" i="1"/>
  <c r="CT9" i="1"/>
  <c r="CT10" i="1"/>
  <c r="CT11" i="1"/>
  <c r="CT12" i="1"/>
  <c r="CT13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8" i="1"/>
  <c r="CT39" i="1"/>
  <c r="CT40" i="1"/>
  <c r="CT41" i="1"/>
  <c r="CT5" i="1"/>
  <c r="CR6" i="1"/>
  <c r="CR7" i="1"/>
  <c r="CR8" i="1"/>
  <c r="CR9" i="1"/>
  <c r="CR10" i="1"/>
  <c r="CR11" i="1"/>
  <c r="CR12" i="1"/>
  <c r="CR13" i="1"/>
  <c r="CR15" i="1"/>
  <c r="CR16" i="1"/>
  <c r="CR17" i="1"/>
  <c r="CR18" i="1"/>
  <c r="CR19" i="1"/>
  <c r="CR20" i="1"/>
  <c r="CR21" i="1"/>
  <c r="CR22" i="1"/>
  <c r="CR23" i="1"/>
  <c r="CR24" i="1"/>
  <c r="CR25" i="1"/>
  <c r="CR26" i="1"/>
  <c r="CR27" i="1"/>
  <c r="CR28" i="1"/>
  <c r="CR29" i="1"/>
  <c r="CR30" i="1"/>
  <c r="CR31" i="1"/>
  <c r="CR32" i="1"/>
  <c r="CR33" i="1"/>
  <c r="CR34" i="1"/>
  <c r="CR35" i="1"/>
  <c r="CR36" i="1"/>
  <c r="CR38" i="1"/>
  <c r="CR39" i="1"/>
  <c r="CR40" i="1"/>
  <c r="CR41" i="1"/>
  <c r="CR5" i="1"/>
  <c r="CP6" i="1"/>
  <c r="CP7" i="1"/>
  <c r="CP8" i="1"/>
  <c r="CP9" i="1"/>
  <c r="CP10" i="1"/>
  <c r="CP11" i="1"/>
  <c r="CP12" i="1"/>
  <c r="CP13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8" i="1"/>
  <c r="CP39" i="1"/>
  <c r="CP40" i="1"/>
  <c r="CP41" i="1"/>
  <c r="CP5" i="1"/>
  <c r="CN6" i="1"/>
  <c r="CN8" i="1"/>
  <c r="CN9" i="1"/>
  <c r="CN10" i="1"/>
  <c r="CN11" i="1"/>
  <c r="CN12" i="1"/>
  <c r="CN13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8" i="1"/>
  <c r="CN39" i="1"/>
  <c r="CN40" i="1"/>
  <c r="CN41" i="1"/>
  <c r="CN5" i="1"/>
  <c r="CL6" i="1"/>
  <c r="CL7" i="1"/>
  <c r="CL8" i="1"/>
  <c r="CL9" i="1"/>
  <c r="CL10" i="1"/>
  <c r="CL11" i="1"/>
  <c r="CL12" i="1"/>
  <c r="CL13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8" i="1"/>
  <c r="CL39" i="1"/>
  <c r="CL40" i="1"/>
  <c r="CL41" i="1"/>
  <c r="CL5" i="1"/>
  <c r="CJ13" i="1"/>
  <c r="CJ26" i="1"/>
  <c r="CJ27" i="1"/>
  <c r="CJ28" i="1"/>
  <c r="CJ29" i="1"/>
  <c r="CJ30" i="1"/>
  <c r="CJ31" i="1"/>
  <c r="CJ32" i="1"/>
  <c r="CJ33" i="1"/>
  <c r="CJ34" i="1"/>
  <c r="CJ35" i="1"/>
  <c r="CJ36" i="1"/>
  <c r="CJ38" i="1"/>
  <c r="CJ39" i="1"/>
  <c r="CJ40" i="1"/>
  <c r="CJ41" i="1"/>
  <c r="CH6" i="1"/>
  <c r="CH7" i="1"/>
  <c r="CH8" i="1"/>
  <c r="CH9" i="1"/>
  <c r="CH10" i="1"/>
  <c r="CH11" i="1"/>
  <c r="CH12" i="1"/>
  <c r="CH13" i="1"/>
  <c r="CH15" i="1"/>
  <c r="CH16" i="1"/>
  <c r="CH17" i="1"/>
  <c r="CH18" i="1"/>
  <c r="CH19" i="1"/>
  <c r="CH20" i="1"/>
  <c r="CH21" i="1"/>
  <c r="CH22" i="1"/>
  <c r="CH23" i="1"/>
  <c r="CH24" i="1"/>
  <c r="CH25" i="1"/>
  <c r="CH26" i="1"/>
  <c r="CH27" i="1"/>
  <c r="CH28" i="1"/>
  <c r="CH29" i="1"/>
  <c r="CH30" i="1"/>
  <c r="CH31" i="1"/>
  <c r="CH32" i="1"/>
  <c r="CH33" i="1"/>
  <c r="CH34" i="1"/>
  <c r="CH35" i="1"/>
  <c r="CH36" i="1"/>
  <c r="CH38" i="1"/>
  <c r="CH39" i="1"/>
  <c r="CH40" i="1"/>
  <c r="CH41" i="1"/>
  <c r="CH5" i="1"/>
  <c r="CF13" i="1"/>
  <c r="CF26" i="1"/>
  <c r="CF27" i="1"/>
  <c r="CF29" i="1"/>
  <c r="CF30" i="1"/>
  <c r="CF31" i="1"/>
  <c r="CF32" i="1"/>
  <c r="CF33" i="1"/>
  <c r="CF35" i="1"/>
  <c r="CF36" i="1"/>
  <c r="CF39" i="1"/>
  <c r="CF40" i="1"/>
  <c r="CF41" i="1"/>
  <c r="CD6" i="1"/>
  <c r="CD7" i="1"/>
  <c r="CD8" i="1"/>
  <c r="CD9" i="1"/>
  <c r="CD10" i="1"/>
  <c r="CD11" i="1"/>
  <c r="CD12" i="1"/>
  <c r="CD13" i="1"/>
  <c r="CD15" i="1"/>
  <c r="CD16" i="1"/>
  <c r="CD17" i="1"/>
  <c r="CD18" i="1"/>
  <c r="CD19" i="1"/>
  <c r="CD20" i="1"/>
  <c r="CD21" i="1"/>
  <c r="CD22" i="1"/>
  <c r="CD23" i="1"/>
  <c r="CD24" i="1"/>
  <c r="CD25" i="1"/>
  <c r="CD26" i="1"/>
  <c r="CD27" i="1"/>
  <c r="CD28" i="1"/>
  <c r="CD29" i="1"/>
  <c r="CD30" i="1"/>
  <c r="CD31" i="1"/>
  <c r="CD32" i="1"/>
  <c r="CD33" i="1"/>
  <c r="CD34" i="1"/>
  <c r="CD35" i="1"/>
  <c r="CD36" i="1"/>
  <c r="CD38" i="1"/>
  <c r="CD39" i="1"/>
  <c r="CD40" i="1"/>
  <c r="CD41" i="1"/>
  <c r="CD5" i="1"/>
  <c r="CB6" i="1"/>
  <c r="CB7" i="1"/>
  <c r="CB8" i="1"/>
  <c r="CB9" i="1"/>
  <c r="CB10" i="1"/>
  <c r="CB11" i="1"/>
  <c r="CB12" i="1"/>
  <c r="CB13" i="1"/>
  <c r="CB15" i="1"/>
  <c r="CB16" i="1"/>
  <c r="CB17" i="1"/>
  <c r="CB18" i="1"/>
  <c r="CB19" i="1"/>
  <c r="CB20" i="1"/>
  <c r="CB21" i="1"/>
  <c r="CB22" i="1"/>
  <c r="CB23" i="1"/>
  <c r="CB24" i="1"/>
  <c r="CB25" i="1"/>
  <c r="CB26" i="1"/>
  <c r="CB27" i="1"/>
  <c r="CB28" i="1"/>
  <c r="CB29" i="1"/>
  <c r="CB30" i="1"/>
  <c r="CB31" i="1"/>
  <c r="CB32" i="1"/>
  <c r="CB33" i="1"/>
  <c r="CB34" i="1"/>
  <c r="CB35" i="1"/>
  <c r="CB36" i="1"/>
  <c r="CB38" i="1"/>
  <c r="CB39" i="1"/>
  <c r="CB40" i="1"/>
  <c r="CB41" i="1"/>
  <c r="CB5" i="1"/>
  <c r="BZ6" i="1"/>
  <c r="BZ7" i="1"/>
  <c r="BZ8" i="1"/>
  <c r="BZ9" i="1"/>
  <c r="BZ10" i="1"/>
  <c r="BZ11" i="1"/>
  <c r="BZ12" i="1"/>
  <c r="BZ13" i="1"/>
  <c r="BZ15" i="1"/>
  <c r="BZ16" i="1"/>
  <c r="BZ17" i="1"/>
  <c r="BZ18" i="1"/>
  <c r="BZ19" i="1"/>
  <c r="BZ20" i="1"/>
  <c r="BZ21" i="1"/>
  <c r="BZ22" i="1"/>
  <c r="BZ23" i="1"/>
  <c r="BZ24" i="1"/>
  <c r="BZ25" i="1"/>
  <c r="BZ26" i="1"/>
  <c r="BZ27" i="1"/>
  <c r="BZ28" i="1"/>
  <c r="BZ29" i="1"/>
  <c r="BZ30" i="1"/>
  <c r="BZ31" i="1"/>
  <c r="BZ32" i="1"/>
  <c r="BZ33" i="1"/>
  <c r="BZ34" i="1"/>
  <c r="BZ35" i="1"/>
  <c r="BZ36" i="1"/>
  <c r="BZ38" i="1"/>
  <c r="BZ39" i="1"/>
  <c r="BZ40" i="1"/>
  <c r="BZ41" i="1"/>
  <c r="BZ5" i="1"/>
  <c r="BX6" i="1"/>
  <c r="BX7" i="1"/>
  <c r="BX8" i="1"/>
  <c r="BX9" i="1"/>
  <c r="BX10" i="1"/>
  <c r="BX11" i="1"/>
  <c r="BX12" i="1"/>
  <c r="BX13" i="1"/>
  <c r="BX15" i="1"/>
  <c r="BX16" i="1"/>
  <c r="BX17" i="1"/>
  <c r="BX18" i="1"/>
  <c r="BX19" i="1"/>
  <c r="BX20" i="1"/>
  <c r="BX21" i="1"/>
  <c r="BX22" i="1"/>
  <c r="BX23" i="1"/>
  <c r="BX24" i="1"/>
  <c r="BX25" i="1"/>
  <c r="BX26" i="1"/>
  <c r="BX27" i="1"/>
  <c r="BX28" i="1"/>
  <c r="BX29" i="1"/>
  <c r="BX30" i="1"/>
  <c r="BX31" i="1"/>
  <c r="BX32" i="1"/>
  <c r="BX33" i="1"/>
  <c r="BX34" i="1"/>
  <c r="BX35" i="1"/>
  <c r="BX36" i="1"/>
  <c r="BX38" i="1"/>
  <c r="BX39" i="1"/>
  <c r="BX40" i="1"/>
  <c r="BX41" i="1"/>
  <c r="BX5" i="1"/>
  <c r="BV6" i="1"/>
  <c r="BV7" i="1"/>
  <c r="BV8" i="1"/>
  <c r="BV9" i="1"/>
  <c r="BV10" i="1"/>
  <c r="BV11" i="1"/>
  <c r="BV12" i="1"/>
  <c r="BV13" i="1"/>
  <c r="BV15" i="1"/>
  <c r="BV16" i="1"/>
  <c r="BV17" i="1"/>
  <c r="BV18" i="1"/>
  <c r="BV19" i="1"/>
  <c r="BV20" i="1"/>
  <c r="BV21" i="1"/>
  <c r="BV22" i="1"/>
  <c r="BV23" i="1"/>
  <c r="BV24" i="1"/>
  <c r="BV25" i="1"/>
  <c r="BV26" i="1"/>
  <c r="BV27" i="1"/>
  <c r="BV28" i="1"/>
  <c r="BV29" i="1"/>
  <c r="BV30" i="1"/>
  <c r="BV31" i="1"/>
  <c r="BV32" i="1"/>
  <c r="BV33" i="1"/>
  <c r="BV34" i="1"/>
  <c r="BV35" i="1"/>
  <c r="BV36" i="1"/>
  <c r="BV38" i="1"/>
  <c r="BV39" i="1"/>
  <c r="BV40" i="1"/>
  <c r="BV41" i="1"/>
  <c r="BV5" i="1"/>
  <c r="BT13" i="1"/>
  <c r="BT26" i="1"/>
  <c r="BT28" i="1"/>
  <c r="BT29" i="1"/>
  <c r="BT30" i="1"/>
  <c r="BT31" i="1"/>
  <c r="BT32" i="1"/>
  <c r="BT33" i="1"/>
  <c r="BT34" i="1"/>
  <c r="BT38" i="1"/>
  <c r="BT39" i="1"/>
  <c r="BT40" i="1"/>
  <c r="BT41" i="1"/>
  <c r="BR6" i="1"/>
  <c r="BR7" i="1"/>
  <c r="BR8" i="1"/>
  <c r="BR9" i="1"/>
  <c r="BR10" i="1"/>
  <c r="BR11" i="1"/>
  <c r="BR12" i="1"/>
  <c r="BR13" i="1"/>
  <c r="BR15" i="1"/>
  <c r="BR16" i="1"/>
  <c r="BR17" i="1"/>
  <c r="BR18" i="1"/>
  <c r="BR19" i="1"/>
  <c r="BR20" i="1"/>
  <c r="BR21" i="1"/>
  <c r="BR22" i="1"/>
  <c r="BR23" i="1"/>
  <c r="BR24" i="1"/>
  <c r="BR25" i="1"/>
  <c r="BR26" i="1"/>
  <c r="BR27" i="1"/>
  <c r="BR28" i="1"/>
  <c r="BR29" i="1"/>
  <c r="BR30" i="1"/>
  <c r="BR31" i="1"/>
  <c r="BR32" i="1"/>
  <c r="BR33" i="1"/>
  <c r="BR34" i="1"/>
  <c r="BR35" i="1"/>
  <c r="BR36" i="1"/>
  <c r="BR38" i="1"/>
  <c r="BR39" i="1"/>
  <c r="BR40" i="1"/>
  <c r="BR41" i="1"/>
  <c r="BR5" i="1"/>
  <c r="BP6" i="1"/>
  <c r="BP7" i="1"/>
  <c r="BP8" i="1"/>
  <c r="BP9" i="1"/>
  <c r="BP10" i="1"/>
  <c r="BP11" i="1"/>
  <c r="BP12" i="1"/>
  <c r="BP13" i="1"/>
  <c r="BP15" i="1"/>
  <c r="BP16" i="1"/>
  <c r="BP17" i="1"/>
  <c r="BP18" i="1"/>
  <c r="BP19" i="1"/>
  <c r="BP20" i="1"/>
  <c r="BP21" i="1"/>
  <c r="BP22" i="1"/>
  <c r="BP23" i="1"/>
  <c r="BP24" i="1"/>
  <c r="BP25" i="1"/>
  <c r="BP26" i="1"/>
  <c r="BP27" i="1"/>
  <c r="BP28" i="1"/>
  <c r="BP29" i="1"/>
  <c r="BP30" i="1"/>
  <c r="BP31" i="1"/>
  <c r="BP32" i="1"/>
  <c r="BP33" i="1"/>
  <c r="BP34" i="1"/>
  <c r="BP35" i="1"/>
  <c r="BP36" i="1"/>
  <c r="BP38" i="1"/>
  <c r="BP39" i="1"/>
  <c r="BP40" i="1"/>
  <c r="BP41" i="1"/>
  <c r="BP5" i="1"/>
  <c r="BN13" i="1"/>
  <c r="BN26" i="1"/>
  <c r="BN27" i="1"/>
  <c r="BN28" i="1"/>
  <c r="BN29" i="1"/>
  <c r="BN30" i="1"/>
  <c r="BN31" i="1"/>
  <c r="BN32" i="1"/>
  <c r="BN33" i="1"/>
  <c r="BN34" i="1"/>
  <c r="BN35" i="1"/>
  <c r="BN36" i="1"/>
  <c r="BN38" i="1"/>
  <c r="BN39" i="1"/>
  <c r="BN40" i="1"/>
  <c r="BN41" i="1"/>
  <c r="BL13" i="1"/>
  <c r="BL26" i="1"/>
  <c r="BL27" i="1"/>
  <c r="BL28" i="1"/>
  <c r="BL29" i="1"/>
  <c r="BL30" i="1"/>
  <c r="BL31" i="1"/>
  <c r="BL32" i="1"/>
  <c r="BL33" i="1"/>
  <c r="BL34" i="1"/>
  <c r="BL35" i="1"/>
  <c r="BL36" i="1"/>
  <c r="BL38" i="1"/>
  <c r="BL39" i="1"/>
  <c r="BL40" i="1"/>
  <c r="BL41" i="1"/>
  <c r="BJ13" i="1"/>
  <c r="BJ26" i="1"/>
  <c r="BJ27" i="1"/>
  <c r="BJ28" i="1"/>
  <c r="BJ29" i="1"/>
  <c r="BJ30" i="1"/>
  <c r="BJ31" i="1"/>
  <c r="BJ32" i="1"/>
  <c r="BJ33" i="1"/>
  <c r="BJ34" i="1"/>
  <c r="BJ35" i="1"/>
  <c r="BJ36" i="1"/>
  <c r="BJ38" i="1"/>
  <c r="BJ39" i="1"/>
  <c r="BJ40" i="1"/>
  <c r="BJ41" i="1"/>
  <c r="BH13" i="1"/>
  <c r="BH26" i="1"/>
  <c r="BH27" i="1"/>
  <c r="BH28" i="1"/>
  <c r="BH29" i="1"/>
  <c r="BH30" i="1"/>
  <c r="BH31" i="1"/>
  <c r="BH32" i="1"/>
  <c r="BH33" i="1"/>
  <c r="BH34" i="1"/>
  <c r="BH35" i="1"/>
  <c r="BH36" i="1"/>
  <c r="BH38" i="1"/>
  <c r="BH39" i="1"/>
  <c r="BH40" i="1"/>
  <c r="BH41" i="1"/>
  <c r="BF13" i="1"/>
  <c r="BF26" i="1"/>
  <c r="BF27" i="1"/>
  <c r="BF28" i="1"/>
  <c r="BF29" i="1"/>
  <c r="BF30" i="1"/>
  <c r="BF31" i="1"/>
  <c r="BF32" i="1"/>
  <c r="BF33" i="1"/>
  <c r="BF34" i="1"/>
  <c r="BF35" i="1"/>
  <c r="BF36" i="1"/>
  <c r="BF38" i="1"/>
  <c r="BF39" i="1"/>
  <c r="BF40" i="1"/>
  <c r="BF41" i="1"/>
  <c r="BD13" i="1"/>
  <c r="BD26" i="1"/>
  <c r="BD27" i="1"/>
  <c r="BD28" i="1"/>
  <c r="BD29" i="1"/>
  <c r="BD30" i="1"/>
  <c r="BD31" i="1"/>
  <c r="BD32" i="1"/>
  <c r="BD33" i="1"/>
  <c r="BD34" i="1"/>
  <c r="BD35" i="1"/>
  <c r="BD36" i="1"/>
  <c r="BD38" i="1"/>
  <c r="BD39" i="1"/>
  <c r="BD40" i="1"/>
  <c r="BD41" i="1"/>
  <c r="BB13" i="1"/>
  <c r="BB26" i="1"/>
  <c r="BB27" i="1"/>
  <c r="BB28" i="1"/>
  <c r="BB29" i="1"/>
  <c r="BB30" i="1"/>
  <c r="BB31" i="1"/>
  <c r="BB32" i="1"/>
  <c r="BB33" i="1"/>
  <c r="BB34" i="1"/>
  <c r="BB35" i="1"/>
  <c r="BB36" i="1"/>
  <c r="BB38" i="1"/>
  <c r="BB39" i="1"/>
  <c r="BB40" i="1"/>
  <c r="BB41" i="1"/>
  <c r="AV40" i="1"/>
  <c r="AV41" i="1"/>
  <c r="AT40" i="1"/>
  <c r="AT41" i="1"/>
  <c r="AJ41" i="1"/>
  <c r="AJ40" i="1"/>
  <c r="AL41" i="1"/>
  <c r="AN41" i="1"/>
  <c r="AP41" i="1"/>
  <c r="AR41" i="1"/>
  <c r="AX41" i="1"/>
  <c r="AZ41" i="1"/>
  <c r="AL40" i="1"/>
  <c r="AN40" i="1"/>
  <c r="AP40" i="1"/>
  <c r="AR40" i="1"/>
  <c r="AX40" i="1"/>
  <c r="AZ40" i="1"/>
  <c r="AZ13" i="1"/>
  <c r="AZ26" i="1"/>
  <c r="AZ27" i="1"/>
  <c r="AZ28" i="1"/>
  <c r="AZ29" i="1"/>
  <c r="AZ30" i="1"/>
  <c r="AZ31" i="1"/>
  <c r="AZ32" i="1"/>
  <c r="AZ33" i="1"/>
  <c r="AZ34" i="1"/>
  <c r="AZ35" i="1"/>
  <c r="AZ36" i="1"/>
  <c r="AZ38" i="1"/>
  <c r="AZ39" i="1"/>
  <c r="AX13" i="1"/>
  <c r="AX26" i="1"/>
  <c r="AX27" i="1"/>
  <c r="AX28" i="1"/>
  <c r="AX29" i="1"/>
  <c r="AX30" i="1"/>
  <c r="AX31" i="1"/>
  <c r="AX32" i="1"/>
  <c r="AX33" i="1"/>
  <c r="AX34" i="1"/>
  <c r="AX35" i="1"/>
  <c r="AX36" i="1"/>
  <c r="AX38" i="1"/>
  <c r="AX39" i="1"/>
  <c r="AV6" i="1"/>
  <c r="AV7" i="1"/>
  <c r="AV8" i="1"/>
  <c r="AV9" i="1"/>
  <c r="AV10" i="1"/>
  <c r="AV11" i="1"/>
  <c r="AV12" i="1"/>
  <c r="AV13" i="1"/>
  <c r="AV15" i="1"/>
  <c r="AV16" i="1"/>
  <c r="AV17" i="1"/>
  <c r="AV18" i="1"/>
  <c r="AV19" i="1"/>
  <c r="AV20" i="1"/>
  <c r="AV21" i="1"/>
  <c r="AV22" i="1"/>
  <c r="AV23" i="1"/>
  <c r="AV24" i="1"/>
  <c r="AV25" i="1"/>
  <c r="AV26" i="1"/>
  <c r="AV27" i="1"/>
  <c r="AV28" i="1"/>
  <c r="AV29" i="1"/>
  <c r="AV30" i="1"/>
  <c r="AV31" i="1"/>
  <c r="AV32" i="1"/>
  <c r="AV33" i="1"/>
  <c r="AV34" i="1"/>
  <c r="AV35" i="1"/>
  <c r="AV36" i="1"/>
  <c r="AV38" i="1"/>
  <c r="AV39" i="1"/>
  <c r="AV5" i="1"/>
  <c r="AT6" i="1"/>
  <c r="AT7" i="1"/>
  <c r="AT8" i="1"/>
  <c r="AT9" i="1"/>
  <c r="AT10" i="1"/>
  <c r="AT11" i="1"/>
  <c r="AT12" i="1"/>
  <c r="AT13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8" i="1"/>
  <c r="AT39" i="1"/>
  <c r="AT5" i="1"/>
  <c r="AR6" i="1"/>
  <c r="AR7" i="1"/>
  <c r="AR8" i="1"/>
  <c r="AR9" i="1"/>
  <c r="AR10" i="1"/>
  <c r="AR11" i="1"/>
  <c r="AR12" i="1"/>
  <c r="AR13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AR28" i="1"/>
  <c r="AR29" i="1"/>
  <c r="AR30" i="1"/>
  <c r="AR31" i="1"/>
  <c r="AR32" i="1"/>
  <c r="AR33" i="1"/>
  <c r="AR34" i="1"/>
  <c r="AR35" i="1"/>
  <c r="AR36" i="1"/>
  <c r="AR38" i="1"/>
  <c r="AR39" i="1"/>
  <c r="AR5" i="1"/>
  <c r="AP6" i="1"/>
  <c r="AP7" i="1"/>
  <c r="AP8" i="1"/>
  <c r="AP9" i="1"/>
  <c r="AP10" i="1"/>
  <c r="AP11" i="1"/>
  <c r="AP12" i="1"/>
  <c r="AP13" i="1"/>
  <c r="AP15" i="1"/>
  <c r="AP16" i="1"/>
  <c r="AP17" i="1"/>
  <c r="AP18" i="1"/>
  <c r="AP19" i="1"/>
  <c r="AP20" i="1"/>
  <c r="AP21" i="1"/>
  <c r="AP22" i="1"/>
  <c r="AP23" i="1"/>
  <c r="AP24" i="1"/>
  <c r="AP25" i="1"/>
  <c r="AP26" i="1"/>
  <c r="AP27" i="1"/>
  <c r="AP28" i="1"/>
  <c r="AP29" i="1"/>
  <c r="AP30" i="1"/>
  <c r="AP31" i="1"/>
  <c r="AP32" i="1"/>
  <c r="AP33" i="1"/>
  <c r="AP34" i="1"/>
  <c r="AP35" i="1"/>
  <c r="AP36" i="1"/>
  <c r="AP38" i="1"/>
  <c r="AP39" i="1"/>
  <c r="AP5" i="1"/>
  <c r="AN6" i="1"/>
  <c r="AN7" i="1"/>
  <c r="AN8" i="1"/>
  <c r="AN9" i="1"/>
  <c r="AN10" i="1"/>
  <c r="AN11" i="1"/>
  <c r="AN12" i="1"/>
  <c r="AN13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8" i="1"/>
  <c r="AN39" i="1"/>
  <c r="AN5" i="1"/>
  <c r="AL6" i="1"/>
  <c r="AL7" i="1"/>
  <c r="AL8" i="1"/>
  <c r="AL9" i="1"/>
  <c r="AL10" i="1"/>
  <c r="AL11" i="1"/>
  <c r="AL12" i="1"/>
  <c r="AL13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8" i="1"/>
  <c r="AL39" i="1"/>
  <c r="AL5" i="1"/>
  <c r="AJ6" i="1"/>
  <c r="AJ7" i="1"/>
  <c r="AJ8" i="1"/>
  <c r="AJ9" i="1"/>
  <c r="AJ10" i="1"/>
  <c r="AJ11" i="1"/>
  <c r="AJ12" i="1"/>
  <c r="AJ13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8" i="1"/>
  <c r="AJ39" i="1"/>
  <c r="AJ5" i="1"/>
  <c r="T27" i="1" l="1"/>
  <c r="T5" i="1"/>
  <c r="C2" i="1"/>
  <c r="E42" i="1"/>
  <c r="T23" i="1"/>
  <c r="T7" i="1"/>
  <c r="T6" i="1"/>
  <c r="T8" i="1"/>
  <c r="T9" i="1"/>
  <c r="T10" i="1"/>
  <c r="T11" i="1"/>
  <c r="T20" i="1"/>
  <c r="T22" i="1"/>
  <c r="T24" i="1"/>
  <c r="T26" i="1"/>
  <c r="CE38" i="1"/>
  <c r="CF38" i="1" s="1"/>
  <c r="BS36" i="1"/>
  <c r="BT36" i="1" s="1"/>
  <c r="BS35" i="1"/>
  <c r="BT35" i="1" s="1"/>
  <c r="CE34" i="1"/>
  <c r="CF34" i="1" s="1"/>
  <c r="CE28" i="1"/>
  <c r="CF28" i="1" s="1"/>
  <c r="BS27" i="1"/>
  <c r="BT27" i="1" s="1"/>
  <c r="BM25" i="1"/>
  <c r="BN25" i="1" s="1"/>
  <c r="BK25" i="1"/>
  <c r="BL25" i="1" s="1"/>
  <c r="BI25" i="1"/>
  <c r="BJ25" i="1" s="1"/>
  <c r="BG25" i="1"/>
  <c r="BH25" i="1" s="1"/>
  <c r="BE25" i="1"/>
  <c r="BF25" i="1" s="1"/>
  <c r="BC25" i="1"/>
  <c r="BD25" i="1" s="1"/>
  <c r="BA25" i="1"/>
  <c r="BB25" i="1" s="1"/>
  <c r="AY25" i="1"/>
  <c r="AZ25" i="1" s="1"/>
  <c r="AW25" i="1"/>
  <c r="AX25" i="1" s="1"/>
  <c r="CU25" i="1"/>
  <c r="CV25" i="1" s="1"/>
  <c r="CI25" i="1"/>
  <c r="CJ25" i="1" s="1"/>
  <c r="CE25" i="1"/>
  <c r="CF25" i="1" s="1"/>
  <c r="BS25" i="1"/>
  <c r="BT25" i="1" s="1"/>
  <c r="BM24" i="1"/>
  <c r="BN24" i="1" s="1"/>
  <c r="BK24" i="1"/>
  <c r="BL24" i="1" s="1"/>
  <c r="BI24" i="1"/>
  <c r="BJ24" i="1" s="1"/>
  <c r="BG24" i="1"/>
  <c r="BH24" i="1" s="1"/>
  <c r="BE24" i="1"/>
  <c r="BF24" i="1" s="1"/>
  <c r="BC24" i="1"/>
  <c r="BD24" i="1" s="1"/>
  <c r="BA24" i="1"/>
  <c r="BB24" i="1" s="1"/>
  <c r="AY24" i="1"/>
  <c r="AZ24" i="1" s="1"/>
  <c r="AW24" i="1"/>
  <c r="AX24" i="1" s="1"/>
  <c r="CU24" i="1"/>
  <c r="CV24" i="1" s="1"/>
  <c r="CI24" i="1"/>
  <c r="CJ24" i="1" s="1"/>
  <c r="CE24" i="1"/>
  <c r="CF24" i="1" s="1"/>
  <c r="BS24" i="1"/>
  <c r="BT24" i="1" s="1"/>
  <c r="BM23" i="1"/>
  <c r="BN23" i="1" s="1"/>
  <c r="BK23" i="1"/>
  <c r="BL23" i="1" s="1"/>
  <c r="BI23" i="1"/>
  <c r="BJ23" i="1" s="1"/>
  <c r="BG23" i="1"/>
  <c r="BH23" i="1" s="1"/>
  <c r="BE23" i="1"/>
  <c r="BF23" i="1" s="1"/>
  <c r="BC23" i="1"/>
  <c r="BD23" i="1" s="1"/>
  <c r="BA23" i="1"/>
  <c r="BB23" i="1" s="1"/>
  <c r="AY23" i="1"/>
  <c r="AZ23" i="1" s="1"/>
  <c r="AW23" i="1"/>
  <c r="AX23" i="1" s="1"/>
  <c r="CU23" i="1"/>
  <c r="CV23" i="1" s="1"/>
  <c r="CI23" i="1"/>
  <c r="CJ23" i="1" s="1"/>
  <c r="CE23" i="1"/>
  <c r="CF23" i="1" s="1"/>
  <c r="BS23" i="1"/>
  <c r="BT23" i="1" s="1"/>
  <c r="BM22" i="1"/>
  <c r="BN22" i="1" s="1"/>
  <c r="BK22" i="1"/>
  <c r="BL22" i="1" s="1"/>
  <c r="BI22" i="1"/>
  <c r="BJ22" i="1" s="1"/>
  <c r="BG22" i="1"/>
  <c r="BH22" i="1" s="1"/>
  <c r="BE22" i="1"/>
  <c r="BF22" i="1" s="1"/>
  <c r="BC22" i="1"/>
  <c r="BD22" i="1" s="1"/>
  <c r="BA22" i="1"/>
  <c r="BB22" i="1" s="1"/>
  <c r="AY22" i="1"/>
  <c r="AZ22" i="1" s="1"/>
  <c r="AW22" i="1"/>
  <c r="AX22" i="1" s="1"/>
  <c r="CU22" i="1"/>
  <c r="CV22" i="1" s="1"/>
  <c r="CI22" i="1"/>
  <c r="CJ22" i="1" s="1"/>
  <c r="CE22" i="1"/>
  <c r="CF22" i="1" s="1"/>
  <c r="BS22" i="1"/>
  <c r="BT22" i="1" s="1"/>
  <c r="BM21" i="1"/>
  <c r="BN21" i="1" s="1"/>
  <c r="BK21" i="1"/>
  <c r="BL21" i="1" s="1"/>
  <c r="BI21" i="1"/>
  <c r="BJ21" i="1" s="1"/>
  <c r="BG21" i="1"/>
  <c r="BH21" i="1" s="1"/>
  <c r="BE21" i="1"/>
  <c r="BF21" i="1" s="1"/>
  <c r="BC21" i="1"/>
  <c r="BD21" i="1" s="1"/>
  <c r="BA21" i="1"/>
  <c r="BB21" i="1" s="1"/>
  <c r="AY21" i="1"/>
  <c r="AZ21" i="1" s="1"/>
  <c r="AW21" i="1"/>
  <c r="AX21" i="1" s="1"/>
  <c r="CU21" i="1"/>
  <c r="CV21" i="1" s="1"/>
  <c r="CI21" i="1"/>
  <c r="CJ21" i="1" s="1"/>
  <c r="CE21" i="1"/>
  <c r="CF21" i="1" s="1"/>
  <c r="BS21" i="1"/>
  <c r="BT21" i="1" s="1"/>
  <c r="BM20" i="1"/>
  <c r="BN20" i="1" s="1"/>
  <c r="BK20" i="1"/>
  <c r="BL20" i="1" s="1"/>
  <c r="BI20" i="1"/>
  <c r="BJ20" i="1" s="1"/>
  <c r="BG20" i="1"/>
  <c r="BH20" i="1" s="1"/>
  <c r="BE20" i="1"/>
  <c r="BF20" i="1" s="1"/>
  <c r="BC20" i="1"/>
  <c r="BD20" i="1" s="1"/>
  <c r="BA20" i="1"/>
  <c r="BB20" i="1" s="1"/>
  <c r="AY20" i="1"/>
  <c r="AZ20" i="1" s="1"/>
  <c r="AW20" i="1"/>
  <c r="AX20" i="1" s="1"/>
  <c r="CU20" i="1"/>
  <c r="CV20" i="1" s="1"/>
  <c r="CI20" i="1"/>
  <c r="CJ20" i="1" s="1"/>
  <c r="CE20" i="1"/>
  <c r="CF20" i="1" s="1"/>
  <c r="BS20" i="1"/>
  <c r="BT20" i="1" s="1"/>
  <c r="BM19" i="1"/>
  <c r="BN19" i="1" s="1"/>
  <c r="BK19" i="1"/>
  <c r="BL19" i="1" s="1"/>
  <c r="BI19" i="1"/>
  <c r="BJ19" i="1" s="1"/>
  <c r="BG19" i="1"/>
  <c r="BH19" i="1" s="1"/>
  <c r="BE19" i="1"/>
  <c r="BF19" i="1" s="1"/>
  <c r="BC19" i="1"/>
  <c r="BD19" i="1" s="1"/>
  <c r="BA19" i="1"/>
  <c r="BB19" i="1" s="1"/>
  <c r="AY19" i="1"/>
  <c r="AZ19" i="1" s="1"/>
  <c r="AW19" i="1"/>
  <c r="AX19" i="1" s="1"/>
  <c r="CU19" i="1"/>
  <c r="CV19" i="1" s="1"/>
  <c r="CI19" i="1"/>
  <c r="CJ19" i="1" s="1"/>
  <c r="CE19" i="1"/>
  <c r="CF19" i="1" s="1"/>
  <c r="BS19" i="1"/>
  <c r="BT19" i="1" s="1"/>
  <c r="BM18" i="1"/>
  <c r="BN18" i="1" s="1"/>
  <c r="BK18" i="1"/>
  <c r="BL18" i="1" s="1"/>
  <c r="BI18" i="1"/>
  <c r="BJ18" i="1" s="1"/>
  <c r="BG18" i="1"/>
  <c r="BH18" i="1" s="1"/>
  <c r="BE18" i="1"/>
  <c r="BF18" i="1" s="1"/>
  <c r="BC18" i="1"/>
  <c r="BD18" i="1" s="1"/>
  <c r="BA18" i="1"/>
  <c r="BB18" i="1" s="1"/>
  <c r="AY18" i="1"/>
  <c r="AZ18" i="1" s="1"/>
  <c r="AW18" i="1"/>
  <c r="AX18" i="1" s="1"/>
  <c r="CU18" i="1"/>
  <c r="CV18" i="1" s="1"/>
  <c r="CI18" i="1"/>
  <c r="CJ18" i="1" s="1"/>
  <c r="CE18" i="1"/>
  <c r="CF18" i="1" s="1"/>
  <c r="BS18" i="1"/>
  <c r="BT18" i="1" s="1"/>
  <c r="BM17" i="1"/>
  <c r="BN17" i="1" s="1"/>
  <c r="BK17" i="1"/>
  <c r="BL17" i="1" s="1"/>
  <c r="BI17" i="1"/>
  <c r="BJ17" i="1" s="1"/>
  <c r="BG17" i="1"/>
  <c r="BH17" i="1" s="1"/>
  <c r="BE17" i="1"/>
  <c r="BF17" i="1" s="1"/>
  <c r="BC17" i="1"/>
  <c r="BD17" i="1" s="1"/>
  <c r="BA17" i="1"/>
  <c r="BB17" i="1" s="1"/>
  <c r="AY17" i="1"/>
  <c r="AZ17" i="1" s="1"/>
  <c r="AW17" i="1"/>
  <c r="AX17" i="1" s="1"/>
  <c r="CU17" i="1"/>
  <c r="CV17" i="1" s="1"/>
  <c r="CI17" i="1"/>
  <c r="CJ17" i="1" s="1"/>
  <c r="CE17" i="1"/>
  <c r="CF17" i="1" s="1"/>
  <c r="BS17" i="1"/>
  <c r="BT17" i="1" s="1"/>
  <c r="BM16" i="1"/>
  <c r="BN16" i="1" s="1"/>
  <c r="BK16" i="1"/>
  <c r="BL16" i="1" s="1"/>
  <c r="BI16" i="1"/>
  <c r="BJ16" i="1" s="1"/>
  <c r="BG16" i="1"/>
  <c r="BH16" i="1" s="1"/>
  <c r="BE16" i="1"/>
  <c r="BF16" i="1" s="1"/>
  <c r="BC16" i="1"/>
  <c r="BD16" i="1" s="1"/>
  <c r="BA16" i="1"/>
  <c r="BB16" i="1" s="1"/>
  <c r="AY16" i="1"/>
  <c r="AZ16" i="1" s="1"/>
  <c r="AW16" i="1"/>
  <c r="AX16" i="1" s="1"/>
  <c r="CU16" i="1"/>
  <c r="CV16" i="1" s="1"/>
  <c r="CI16" i="1"/>
  <c r="CJ16" i="1" s="1"/>
  <c r="CE16" i="1"/>
  <c r="CF16" i="1" s="1"/>
  <c r="BS16" i="1"/>
  <c r="BT16" i="1" s="1"/>
  <c r="BM15" i="1"/>
  <c r="BN15" i="1" s="1"/>
  <c r="BK15" i="1"/>
  <c r="BL15" i="1" s="1"/>
  <c r="BI15" i="1"/>
  <c r="BJ15" i="1" s="1"/>
  <c r="BG15" i="1"/>
  <c r="BH15" i="1" s="1"/>
  <c r="BE15" i="1"/>
  <c r="BF15" i="1" s="1"/>
  <c r="BC15" i="1"/>
  <c r="BD15" i="1" s="1"/>
  <c r="BA15" i="1"/>
  <c r="BB15" i="1" s="1"/>
  <c r="AY15" i="1"/>
  <c r="AZ15" i="1" s="1"/>
  <c r="AW15" i="1"/>
  <c r="AX15" i="1" s="1"/>
  <c r="CU15" i="1"/>
  <c r="CV15" i="1" s="1"/>
  <c r="CI15" i="1"/>
  <c r="CJ15" i="1" s="1"/>
  <c r="CE15" i="1"/>
  <c r="CF15" i="1" s="1"/>
  <c r="BS15" i="1"/>
  <c r="BT15" i="1" s="1"/>
  <c r="BM12" i="1"/>
  <c r="BN12" i="1" s="1"/>
  <c r="BK12" i="1"/>
  <c r="BL12" i="1" s="1"/>
  <c r="BI12" i="1"/>
  <c r="BJ12" i="1" s="1"/>
  <c r="BG12" i="1"/>
  <c r="BH12" i="1" s="1"/>
  <c r="BE12" i="1"/>
  <c r="BF12" i="1" s="1"/>
  <c r="BC12" i="1"/>
  <c r="BD12" i="1" s="1"/>
  <c r="BA12" i="1"/>
  <c r="BB12" i="1" s="1"/>
  <c r="AY12" i="1"/>
  <c r="AZ12" i="1" s="1"/>
  <c r="AW12" i="1"/>
  <c r="AX12" i="1" s="1"/>
  <c r="CU12" i="1"/>
  <c r="CV12" i="1" s="1"/>
  <c r="CI12" i="1"/>
  <c r="CJ12" i="1" s="1"/>
  <c r="CE12" i="1"/>
  <c r="CF12" i="1" s="1"/>
  <c r="BS12" i="1"/>
  <c r="BT12" i="1" s="1"/>
  <c r="BM11" i="1"/>
  <c r="BN11" i="1" s="1"/>
  <c r="BK11" i="1"/>
  <c r="BL11" i="1" s="1"/>
  <c r="BI11" i="1"/>
  <c r="BJ11" i="1" s="1"/>
  <c r="BG11" i="1"/>
  <c r="BH11" i="1" s="1"/>
  <c r="BE11" i="1"/>
  <c r="BF11" i="1" s="1"/>
  <c r="BC11" i="1"/>
  <c r="BD11" i="1" s="1"/>
  <c r="BA11" i="1"/>
  <c r="BB11" i="1" s="1"/>
  <c r="AY11" i="1"/>
  <c r="AZ11" i="1" s="1"/>
  <c r="AW11" i="1"/>
  <c r="AX11" i="1" s="1"/>
  <c r="CU11" i="1"/>
  <c r="CV11" i="1" s="1"/>
  <c r="CI11" i="1"/>
  <c r="CJ11" i="1" s="1"/>
  <c r="CE11" i="1"/>
  <c r="CF11" i="1" s="1"/>
  <c r="BS11" i="1"/>
  <c r="BT11" i="1" s="1"/>
  <c r="BM10" i="1"/>
  <c r="BN10" i="1" s="1"/>
  <c r="BK10" i="1"/>
  <c r="BL10" i="1" s="1"/>
  <c r="BI10" i="1"/>
  <c r="BJ10" i="1" s="1"/>
  <c r="BG10" i="1"/>
  <c r="BH10" i="1" s="1"/>
  <c r="BE10" i="1"/>
  <c r="BF10" i="1" s="1"/>
  <c r="BC10" i="1"/>
  <c r="BD10" i="1" s="1"/>
  <c r="BA10" i="1"/>
  <c r="BB10" i="1" s="1"/>
  <c r="AY10" i="1"/>
  <c r="AZ10" i="1" s="1"/>
  <c r="AW10" i="1"/>
  <c r="AX10" i="1" s="1"/>
  <c r="CU10" i="1"/>
  <c r="CV10" i="1" s="1"/>
  <c r="CI10" i="1"/>
  <c r="CJ10" i="1" s="1"/>
  <c r="CE10" i="1"/>
  <c r="CF10" i="1" s="1"/>
  <c r="BS10" i="1"/>
  <c r="BT10" i="1" s="1"/>
  <c r="BM9" i="1"/>
  <c r="BN9" i="1" s="1"/>
  <c r="BK9" i="1"/>
  <c r="BL9" i="1" s="1"/>
  <c r="BI9" i="1"/>
  <c r="BJ9" i="1" s="1"/>
  <c r="BG9" i="1"/>
  <c r="BH9" i="1" s="1"/>
  <c r="BE9" i="1"/>
  <c r="BF9" i="1" s="1"/>
  <c r="BC9" i="1"/>
  <c r="BD9" i="1" s="1"/>
  <c r="BA9" i="1"/>
  <c r="BB9" i="1" s="1"/>
  <c r="AY9" i="1"/>
  <c r="AZ9" i="1" s="1"/>
  <c r="AW9" i="1"/>
  <c r="AX9" i="1" s="1"/>
  <c r="CU9" i="1"/>
  <c r="CV9" i="1" s="1"/>
  <c r="CI9" i="1"/>
  <c r="CJ9" i="1" s="1"/>
  <c r="CE9" i="1"/>
  <c r="CF9" i="1" s="1"/>
  <c r="BS9" i="1"/>
  <c r="BT9" i="1" s="1"/>
  <c r="BM8" i="1"/>
  <c r="BN8" i="1" s="1"/>
  <c r="BK8" i="1"/>
  <c r="BL8" i="1" s="1"/>
  <c r="BI8" i="1"/>
  <c r="BJ8" i="1" s="1"/>
  <c r="BG8" i="1"/>
  <c r="BH8" i="1" s="1"/>
  <c r="BE8" i="1"/>
  <c r="BF8" i="1" s="1"/>
  <c r="BC8" i="1"/>
  <c r="BD8" i="1" s="1"/>
  <c r="BA8" i="1"/>
  <c r="BB8" i="1" s="1"/>
  <c r="AY8" i="1"/>
  <c r="AZ8" i="1" s="1"/>
  <c r="AW8" i="1"/>
  <c r="AX8" i="1" s="1"/>
  <c r="CU8" i="1"/>
  <c r="CV8" i="1" s="1"/>
  <c r="CI8" i="1"/>
  <c r="CJ8" i="1" s="1"/>
  <c r="CE8" i="1"/>
  <c r="CF8" i="1" s="1"/>
  <c r="BS8" i="1"/>
  <c r="BT8" i="1" s="1"/>
  <c r="BM7" i="1"/>
  <c r="BN7" i="1" s="1"/>
  <c r="BK7" i="1"/>
  <c r="BL7" i="1" s="1"/>
  <c r="BI7" i="1"/>
  <c r="BJ7" i="1" s="1"/>
  <c r="BG7" i="1"/>
  <c r="BH7" i="1" s="1"/>
  <c r="BE7" i="1"/>
  <c r="BF7" i="1" s="1"/>
  <c r="BC7" i="1"/>
  <c r="BD7" i="1" s="1"/>
  <c r="BA7" i="1"/>
  <c r="BB7" i="1" s="1"/>
  <c r="AY7" i="1"/>
  <c r="AZ7" i="1" s="1"/>
  <c r="AW7" i="1"/>
  <c r="AX7" i="1" s="1"/>
  <c r="CU7" i="1"/>
  <c r="CV7" i="1" s="1"/>
  <c r="CI7" i="1"/>
  <c r="CJ7" i="1" s="1"/>
  <c r="CE7" i="1"/>
  <c r="CF7" i="1" s="1"/>
  <c r="BS7" i="1"/>
  <c r="BT7" i="1" s="1"/>
  <c r="BM6" i="1"/>
  <c r="BN6" i="1" s="1"/>
  <c r="BK6" i="1"/>
  <c r="BL6" i="1" s="1"/>
  <c r="BI6" i="1"/>
  <c r="BJ6" i="1" s="1"/>
  <c r="BG6" i="1"/>
  <c r="BH6" i="1" s="1"/>
  <c r="BE6" i="1"/>
  <c r="BF6" i="1" s="1"/>
  <c r="BC6" i="1"/>
  <c r="BD6" i="1" s="1"/>
  <c r="BA6" i="1"/>
  <c r="BB6" i="1" s="1"/>
  <c r="AY6" i="1"/>
  <c r="AZ6" i="1" s="1"/>
  <c r="AW6" i="1"/>
  <c r="AX6" i="1" s="1"/>
  <c r="CU6" i="1"/>
  <c r="CV6" i="1" s="1"/>
  <c r="CI6" i="1"/>
  <c r="CJ6" i="1" s="1"/>
  <c r="CE6" i="1"/>
  <c r="CF6" i="1" s="1"/>
  <c r="BS6" i="1"/>
  <c r="BT6" i="1" s="1"/>
  <c r="BM5" i="1"/>
  <c r="BN5" i="1" s="1"/>
  <c r="BK5" i="1"/>
  <c r="BL5" i="1" s="1"/>
  <c r="BI5" i="1"/>
  <c r="BJ5" i="1" s="1"/>
  <c r="BG5" i="1"/>
  <c r="BH5" i="1" s="1"/>
  <c r="BE5" i="1"/>
  <c r="BF5" i="1" s="1"/>
  <c r="BC5" i="1"/>
  <c r="BD5" i="1" s="1"/>
  <c r="BA5" i="1"/>
  <c r="BB5" i="1" s="1"/>
  <c r="AY5" i="1"/>
  <c r="AZ5" i="1" s="1"/>
  <c r="AW5" i="1"/>
  <c r="AX5" i="1" s="1"/>
  <c r="CU5" i="1"/>
  <c r="CV5" i="1" s="1"/>
  <c r="CI5" i="1"/>
  <c r="CJ5" i="1" s="1"/>
  <c r="CE5" i="1"/>
  <c r="CF5" i="1" s="1"/>
  <c r="BS5" i="1"/>
  <c r="BT5" i="1" s="1"/>
  <c r="T19" i="1" l="1"/>
  <c r="T15" i="1"/>
  <c r="T25" i="1"/>
  <c r="T14" i="1"/>
  <c r="T17" i="1"/>
  <c r="T18" i="1"/>
  <c r="T16" i="1"/>
  <c r="T12" i="1"/>
  <c r="T21" i="1"/>
  <c r="T13" i="1"/>
</calcChain>
</file>

<file path=xl/sharedStrings.xml><?xml version="1.0" encoding="utf-8"?>
<sst xmlns="http://schemas.openxmlformats.org/spreadsheetml/2006/main" count="607" uniqueCount="200">
  <si>
    <t>DCAB mEq/kg</t>
  </si>
  <si>
    <t>Choline g/kg</t>
  </si>
  <si>
    <t>NDF %</t>
  </si>
  <si>
    <t>ADF %</t>
  </si>
  <si>
    <t>Ash %</t>
  </si>
  <si>
    <t>Starch %</t>
  </si>
  <si>
    <t>Sugar %</t>
  </si>
  <si>
    <t>NFE %</t>
  </si>
  <si>
    <t>پودر ماهی 50% پروتئین</t>
  </si>
  <si>
    <t>پودر ماهی 60% پروتئین</t>
  </si>
  <si>
    <t>پودر ماهی 70% پروتئین</t>
  </si>
  <si>
    <t>پودر گوشت و استخوان</t>
  </si>
  <si>
    <t xml:space="preserve">پودر گوشت </t>
  </si>
  <si>
    <t>پودر خون</t>
  </si>
  <si>
    <t>پودر گوشت مرغی</t>
  </si>
  <si>
    <t>پودر استخوان</t>
  </si>
  <si>
    <t>ذرت</t>
  </si>
  <si>
    <t>گندم</t>
  </si>
  <si>
    <t>جو</t>
  </si>
  <si>
    <t>برنج</t>
  </si>
  <si>
    <t>سویای پرچرب، اکسترود</t>
  </si>
  <si>
    <t>کنجاله سویا</t>
  </si>
  <si>
    <t>کنسانتره پروتئین سویا</t>
  </si>
  <si>
    <t>گلوتن ذرت</t>
  </si>
  <si>
    <t>گلوتن گندم</t>
  </si>
  <si>
    <t>سبوس گندم</t>
  </si>
  <si>
    <t>ملاس چغندرقند</t>
  </si>
  <si>
    <t>متیونین</t>
  </si>
  <si>
    <t>بیولیز</t>
  </si>
  <si>
    <t>لیزین هیدروکلراید</t>
  </si>
  <si>
    <t>ترئونین</t>
  </si>
  <si>
    <t>تریپتوفان</t>
  </si>
  <si>
    <t>والین</t>
  </si>
  <si>
    <t>آرژنین</t>
  </si>
  <si>
    <t>کولین کلراید</t>
  </si>
  <si>
    <t>دی کلسیم فسفات</t>
  </si>
  <si>
    <t>منو کلسیم فسفات</t>
  </si>
  <si>
    <t>کلرید سدیم (نمک)</t>
  </si>
  <si>
    <t>مکمل ویتامینی و معدنی</t>
  </si>
  <si>
    <t>ایزولوسین</t>
  </si>
  <si>
    <t>انرژی DE</t>
  </si>
  <si>
    <t>kcal/kg</t>
  </si>
  <si>
    <t>پروتئین</t>
  </si>
  <si>
    <t>%</t>
  </si>
  <si>
    <t>نشاسته</t>
  </si>
  <si>
    <t>فیبر</t>
  </si>
  <si>
    <t>چربی</t>
  </si>
  <si>
    <t>لیزین</t>
  </si>
  <si>
    <t>متیونین+سیستین</t>
  </si>
  <si>
    <t>کلسیم</t>
  </si>
  <si>
    <t>فسفر دسترس</t>
  </si>
  <si>
    <t>سدیم</t>
  </si>
  <si>
    <t>پتاسیم</t>
  </si>
  <si>
    <t>کلر</t>
  </si>
  <si>
    <t>DE kcal/kg</t>
  </si>
  <si>
    <t>CP %</t>
  </si>
  <si>
    <t>EE %</t>
  </si>
  <si>
    <t>EE-oil free %</t>
  </si>
  <si>
    <t>CF %</t>
  </si>
  <si>
    <t>Lys %</t>
  </si>
  <si>
    <t>Met %</t>
  </si>
  <si>
    <t>Thr %</t>
  </si>
  <si>
    <t>Trp %</t>
  </si>
  <si>
    <t>Arg %</t>
  </si>
  <si>
    <t>M+C %</t>
  </si>
  <si>
    <t>Ile %</t>
  </si>
  <si>
    <t>Leu %</t>
  </si>
  <si>
    <t>Val %</t>
  </si>
  <si>
    <t>Ca %</t>
  </si>
  <si>
    <t>Tot. P %</t>
  </si>
  <si>
    <t>Ava.P %</t>
  </si>
  <si>
    <t>Mg %</t>
  </si>
  <si>
    <t>Na %</t>
  </si>
  <si>
    <t>K %</t>
  </si>
  <si>
    <t>Cl %</t>
  </si>
  <si>
    <t>S %</t>
  </si>
  <si>
    <t>n-3 %</t>
  </si>
  <si>
    <t>LC n-3 %</t>
  </si>
  <si>
    <t>DM %</t>
  </si>
  <si>
    <t>خاکستر</t>
  </si>
  <si>
    <t>قیمت اقلام</t>
  </si>
  <si>
    <t>سهم قیمت</t>
  </si>
  <si>
    <t>مواد غذایی</t>
  </si>
  <si>
    <t>اندازه میکسر</t>
  </si>
  <si>
    <t>مقدار %</t>
  </si>
  <si>
    <t>محدودیتها</t>
  </si>
  <si>
    <t>بنتونیت</t>
  </si>
  <si>
    <t>پرکننده</t>
  </si>
  <si>
    <t>DE</t>
  </si>
  <si>
    <t>CP</t>
  </si>
  <si>
    <t>EE</t>
  </si>
  <si>
    <t>Str</t>
  </si>
  <si>
    <t>CF</t>
  </si>
  <si>
    <t>Ash</t>
  </si>
  <si>
    <t>Lys</t>
  </si>
  <si>
    <t>Met</t>
  </si>
  <si>
    <t>M+C</t>
  </si>
  <si>
    <t>Thr</t>
  </si>
  <si>
    <t>Trp</t>
  </si>
  <si>
    <t>EE oil free</t>
  </si>
  <si>
    <t>Arg</t>
  </si>
  <si>
    <t>Ile</t>
  </si>
  <si>
    <t>Leu</t>
  </si>
  <si>
    <t>Val</t>
  </si>
  <si>
    <t>Ca</t>
  </si>
  <si>
    <t>Tot P</t>
  </si>
  <si>
    <t>Ava P</t>
  </si>
  <si>
    <t>Mg</t>
  </si>
  <si>
    <t>Na</t>
  </si>
  <si>
    <t>K</t>
  </si>
  <si>
    <t>Cl</t>
  </si>
  <si>
    <t>S</t>
  </si>
  <si>
    <t>DCAB</t>
  </si>
  <si>
    <t>Choline</t>
  </si>
  <si>
    <t>n-3</t>
  </si>
  <si>
    <t>LC n-3</t>
  </si>
  <si>
    <t>NDF</t>
  </si>
  <si>
    <t>ADF</t>
  </si>
  <si>
    <t>Sugar</t>
  </si>
  <si>
    <t>NFE</t>
  </si>
  <si>
    <t>DM</t>
  </si>
  <si>
    <t>امگا-6</t>
  </si>
  <si>
    <t>امگا-3</t>
  </si>
  <si>
    <t>امگا-3 زنجیره بلند</t>
  </si>
  <si>
    <t>مواد مغذی</t>
  </si>
  <si>
    <t>نیاز غذایی</t>
  </si>
  <si>
    <t>آنالیز جیره</t>
  </si>
  <si>
    <t>قیمت جیره</t>
  </si>
  <si>
    <t>n-6 %</t>
  </si>
  <si>
    <t>n-6</t>
  </si>
  <si>
    <t>کربنات کلسیم</t>
  </si>
  <si>
    <t>حداقل</t>
  </si>
  <si>
    <t>حداکثر</t>
  </si>
  <si>
    <t>Min</t>
  </si>
  <si>
    <t>Max</t>
  </si>
  <si>
    <t>10-25 گرم</t>
  </si>
  <si>
    <t>25-60 گرم</t>
  </si>
  <si>
    <t>60-150 گرم</t>
  </si>
  <si>
    <t>150-350 گرم</t>
  </si>
  <si>
    <t>350-850 گرم</t>
  </si>
  <si>
    <t>چربی مواد غذایی</t>
  </si>
  <si>
    <t>روغن ماهی</t>
  </si>
  <si>
    <t>روغن گیاهی</t>
  </si>
  <si>
    <t>مکمل سردآبی</t>
  </si>
  <si>
    <t xml:space="preserve"> </t>
  </si>
  <si>
    <t>درصد مکمل در خوراک</t>
  </si>
  <si>
    <t>میلیگرم و یا IU در 1 کیلوگرم خوراک</t>
  </si>
  <si>
    <t>کیلوگرم و یا IU در 100 کیلوگرم مکمل</t>
  </si>
  <si>
    <t>mg و یا IU در 1 کیلوگرم مکمل</t>
  </si>
  <si>
    <t>اقلام مکمل</t>
  </si>
  <si>
    <t>خلوص % و یا IU/kg</t>
  </si>
  <si>
    <t>کیلوگرم در 100 کیلوگرم مکمل</t>
  </si>
  <si>
    <t>چگالی کیلوگرم در مترمکعب</t>
  </si>
  <si>
    <t>سهم چگالی</t>
  </si>
  <si>
    <t>ویتامین  A</t>
  </si>
  <si>
    <t>IU</t>
  </si>
  <si>
    <t>Vitamin A</t>
  </si>
  <si>
    <t>ویتامین D3</t>
  </si>
  <si>
    <t>Vitamin D</t>
  </si>
  <si>
    <t>ویتامین E</t>
  </si>
  <si>
    <t>mg</t>
  </si>
  <si>
    <t>Vitamin E</t>
  </si>
  <si>
    <t>ویتامین K3</t>
  </si>
  <si>
    <t>Vitamin K</t>
  </si>
  <si>
    <t>ویتامین B1</t>
  </si>
  <si>
    <t>Vitamin B1</t>
  </si>
  <si>
    <t>ویتامین B2</t>
  </si>
  <si>
    <t>Vitamin B2</t>
  </si>
  <si>
    <t>نیاسین</t>
  </si>
  <si>
    <t>Niacin</t>
  </si>
  <si>
    <t>پنتوتنات</t>
  </si>
  <si>
    <t>Calpan</t>
  </si>
  <si>
    <t>ویتامین B6</t>
  </si>
  <si>
    <t>Vitamin B6</t>
  </si>
  <si>
    <t>بیوتین</t>
  </si>
  <si>
    <t>Biotin</t>
  </si>
  <si>
    <t>اسید فولیک</t>
  </si>
  <si>
    <t>Folic acid</t>
  </si>
  <si>
    <t>ویتامین B12</t>
  </si>
  <si>
    <t>Vitamin B12</t>
  </si>
  <si>
    <t>ویتامین C</t>
  </si>
  <si>
    <t>Vitamin C</t>
  </si>
  <si>
    <t>آنتی اکسیدان</t>
  </si>
  <si>
    <t>کولین</t>
  </si>
  <si>
    <t>میلیگرم در 1 کیلوگرم خوراک</t>
  </si>
  <si>
    <t>mg در 1 کیلوگرم مکمل</t>
  </si>
  <si>
    <t>خلوص %</t>
  </si>
  <si>
    <t>روی</t>
  </si>
  <si>
    <t>سولفات روی</t>
  </si>
  <si>
    <t>منگنز</t>
  </si>
  <si>
    <t>سولفات منگنز</t>
  </si>
  <si>
    <t>مس</t>
  </si>
  <si>
    <t>سولفات مس</t>
  </si>
  <si>
    <t>آهن</t>
  </si>
  <si>
    <t>سولفات آهن</t>
  </si>
  <si>
    <t>سلنیم</t>
  </si>
  <si>
    <t>سلنیت سدیم</t>
  </si>
  <si>
    <t>ید</t>
  </si>
  <si>
    <t>یدات پتاسیم</t>
  </si>
  <si>
    <t>مکمل گرم آبی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</si>
</sst>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#,##0.0"/>
  </numFmts>
  <fonts count="21" x14ac:knownFonts="1">
    <font>
      <sz val="11"/>
      <color theme="1"/>
      <name val="Calibri"/>
      <family val="2"/>
      <scheme val="minor"/>
    </font>
    <font>
      <sz val="12"/>
      <name val="Tahoma"/>
      <family val="2"/>
    </font>
    <font>
      <sz val="12"/>
      <color theme="1"/>
      <name val="Tahoma"/>
      <family val="2"/>
    </font>
    <font>
      <sz val="12"/>
      <color theme="4"/>
      <name val="Tahoma"/>
      <family val="2"/>
    </font>
    <font>
      <sz val="12"/>
      <color theme="0" tint="-0.499984740745262"/>
      <name val="Tahoma"/>
      <family val="2"/>
    </font>
    <font>
      <sz val="12"/>
      <color theme="5" tint="-0.249977111117893"/>
      <name val="Tahoma"/>
      <family val="2"/>
    </font>
    <font>
      <sz val="12"/>
      <color rgb="FF002060"/>
      <name val="Tahoma"/>
      <family val="2"/>
    </font>
    <font>
      <b/>
      <sz val="12"/>
      <color rgb="FF002060"/>
      <name val="Tahoma"/>
      <family val="2"/>
    </font>
    <font>
      <b/>
      <sz val="12"/>
      <color theme="1"/>
      <name val="Tahoma"/>
      <family val="2"/>
    </font>
    <font>
      <b/>
      <sz val="12"/>
      <color rgb="FF0070C0"/>
      <name val="Tahoma"/>
      <family val="2"/>
    </font>
    <font>
      <b/>
      <sz val="12"/>
      <color rgb="FFFF0000"/>
      <name val="Tahoma"/>
      <family val="2"/>
    </font>
    <font>
      <sz val="12"/>
      <color rgb="FF0070C0"/>
      <name val="Tahoma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2"/>
      <color theme="0" tint="-0.499984740745262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8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readingOrder="2"/>
    </xf>
    <xf numFmtId="0" fontId="2" fillId="0" borderId="0" xfId="0" applyFont="1" applyAlignment="1">
      <alignment horizontal="center" vertical="center" readingOrder="2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4" fillId="0" borderId="0" xfId="0" applyFont="1"/>
    <xf numFmtId="0" fontId="4" fillId="0" borderId="0" xfId="0" applyFont="1" applyFill="1"/>
    <xf numFmtId="2" fontId="4" fillId="0" borderId="0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5" fontId="3" fillId="0" borderId="0" xfId="0" applyNumberFormat="1" applyFont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1" fontId="4" fillId="0" borderId="0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 vertical="center"/>
    </xf>
    <xf numFmtId="0" fontId="5" fillId="0" borderId="0" xfId="0" applyFont="1"/>
    <xf numFmtId="0" fontId="1" fillId="2" borderId="0" xfId="0" applyFont="1" applyFill="1" applyAlignment="1">
      <alignment horizontal="right" indent="1" readingOrder="2"/>
    </xf>
    <xf numFmtId="1" fontId="3" fillId="2" borderId="0" xfId="0" applyNumberFormat="1" applyFont="1" applyFill="1" applyBorder="1" applyAlignment="1">
      <alignment horizontal="center"/>
    </xf>
    <xf numFmtId="2" fontId="4" fillId="2" borderId="0" xfId="0" applyNumberFormat="1" applyFont="1" applyFill="1" applyBorder="1" applyAlignment="1">
      <alignment horizontal="center"/>
    </xf>
    <xf numFmtId="164" fontId="3" fillId="2" borderId="0" xfId="0" applyNumberFormat="1" applyFont="1" applyFill="1" applyBorder="1" applyAlignment="1">
      <alignment horizontal="center"/>
    </xf>
    <xf numFmtId="2" fontId="3" fillId="2" borderId="0" xfId="0" applyNumberFormat="1" applyFont="1" applyFill="1" applyBorder="1" applyAlignment="1">
      <alignment horizontal="center"/>
    </xf>
    <xf numFmtId="2" fontId="3" fillId="2" borderId="0" xfId="0" applyNumberFormat="1" applyFont="1" applyFill="1" applyBorder="1" applyAlignment="1">
      <alignment horizontal="center" vertical="center"/>
    </xf>
    <xf numFmtId="165" fontId="3" fillId="2" borderId="0" xfId="0" applyNumberFormat="1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/>
    </xf>
    <xf numFmtId="164" fontId="4" fillId="2" borderId="5" xfId="0" applyNumberFormat="1" applyFont="1" applyFill="1" applyBorder="1" applyAlignment="1">
      <alignment horizontal="center"/>
    </xf>
    <xf numFmtId="2" fontId="3" fillId="2" borderId="5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center"/>
    </xf>
    <xf numFmtId="1" fontId="1" fillId="2" borderId="0" xfId="0" applyNumberFormat="1" applyFont="1" applyFill="1" applyAlignment="1">
      <alignment horizontal="right" indent="1" readingOrder="2"/>
    </xf>
    <xf numFmtId="2" fontId="1" fillId="2" borderId="0" xfId="0" applyNumberFormat="1" applyFont="1" applyFill="1" applyAlignment="1">
      <alignment horizontal="right" indent="1" readingOrder="2"/>
    </xf>
    <xf numFmtId="165" fontId="4" fillId="2" borderId="0" xfId="0" applyNumberFormat="1" applyFont="1" applyFill="1" applyBorder="1" applyAlignment="1">
      <alignment horizontal="center"/>
    </xf>
    <xf numFmtId="2" fontId="4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/>
    <xf numFmtId="0" fontId="3" fillId="2" borderId="0" xfId="0" applyFont="1" applyFill="1"/>
    <xf numFmtId="0" fontId="5" fillId="2" borderId="0" xfId="0" applyFont="1" applyFill="1"/>
    <xf numFmtId="0" fontId="2" fillId="2" borderId="0" xfId="0" applyFont="1" applyFill="1" applyAlignment="1">
      <alignment readingOrder="2"/>
    </xf>
    <xf numFmtId="0" fontId="2" fillId="2" borderId="0" xfId="0" applyFont="1" applyFill="1" applyAlignment="1">
      <alignment horizontal="center" vertical="center" readingOrder="2"/>
    </xf>
    <xf numFmtId="0" fontId="2" fillId="2" borderId="0" xfId="0" applyFont="1" applyFill="1" applyAlignment="1">
      <alignment horizontal="center"/>
    </xf>
    <xf numFmtId="0" fontId="4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/>
    <xf numFmtId="0" fontId="3" fillId="2" borderId="0" xfId="0" applyFont="1" applyFill="1" applyBorder="1"/>
    <xf numFmtId="0" fontId="4" fillId="2" borderId="2" xfId="0" applyFont="1" applyFill="1" applyBorder="1"/>
    <xf numFmtId="0" fontId="3" fillId="2" borderId="2" xfId="0" applyFont="1" applyFill="1" applyBorder="1"/>
    <xf numFmtId="0" fontId="3" fillId="2" borderId="2" xfId="0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/>
    </xf>
    <xf numFmtId="1" fontId="5" fillId="2" borderId="0" xfId="0" applyNumberFormat="1" applyFont="1" applyFill="1" applyBorder="1" applyAlignment="1">
      <alignment horizontal="center"/>
    </xf>
    <xf numFmtId="0" fontId="2" fillId="2" borderId="0" xfId="0" applyFont="1" applyFill="1" applyBorder="1"/>
    <xf numFmtId="0" fontId="2" fillId="0" borderId="0" xfId="0" applyFont="1" applyBorder="1"/>
    <xf numFmtId="0" fontId="4" fillId="2" borderId="4" xfId="0" applyFont="1" applyFill="1" applyBorder="1" applyAlignment="1">
      <alignment horizontal="right" vertical="center" readingOrder="2"/>
    </xf>
    <xf numFmtId="0" fontId="4" fillId="0" borderId="4" xfId="0" applyFont="1" applyBorder="1" applyAlignment="1">
      <alignment horizontal="right" vertical="center" readingOrder="2"/>
    </xf>
    <xf numFmtId="3" fontId="5" fillId="2" borderId="12" xfId="0" applyNumberFormat="1" applyFont="1" applyFill="1" applyBorder="1" applyAlignment="1">
      <alignment horizontal="center"/>
    </xf>
    <xf numFmtId="3" fontId="5" fillId="0" borderId="12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 vertical="center" readingOrder="2"/>
    </xf>
    <xf numFmtId="0" fontId="6" fillId="0" borderId="18" xfId="0" applyFont="1" applyBorder="1" applyAlignment="1">
      <alignment horizontal="center" vertical="center" readingOrder="2"/>
    </xf>
    <xf numFmtId="0" fontId="6" fillId="2" borderId="0" xfId="0" applyFont="1" applyFill="1" applyBorder="1" applyAlignment="1">
      <alignment horizontal="center" vertical="center" readingOrder="2"/>
    </xf>
    <xf numFmtId="0" fontId="6" fillId="0" borderId="0" xfId="0" applyFont="1" applyBorder="1" applyAlignment="1">
      <alignment horizontal="center" vertical="center" readingOrder="2"/>
    </xf>
    <xf numFmtId="1" fontId="7" fillId="2" borderId="13" xfId="0" applyNumberFormat="1" applyFont="1" applyFill="1" applyBorder="1" applyAlignment="1">
      <alignment horizontal="center" vertical="center"/>
    </xf>
    <xf numFmtId="2" fontId="7" fillId="0" borderId="13" xfId="0" applyNumberFormat="1" applyFont="1" applyBorder="1" applyAlignment="1">
      <alignment horizontal="center" vertical="center"/>
    </xf>
    <xf numFmtId="2" fontId="7" fillId="2" borderId="13" xfId="0" applyNumberFormat="1" applyFont="1" applyFill="1" applyBorder="1" applyAlignment="1">
      <alignment horizontal="center" vertical="center"/>
    </xf>
    <xf numFmtId="0" fontId="7" fillId="0" borderId="13" xfId="0" applyFont="1" applyBorder="1" applyAlignment="1">
      <alignment horizontal="right" indent="1" readingOrder="2"/>
    </xf>
    <xf numFmtId="0" fontId="7" fillId="2" borderId="13" xfId="0" applyFont="1" applyFill="1" applyBorder="1" applyAlignment="1">
      <alignment horizontal="right" indent="1" readingOrder="2"/>
    </xf>
    <xf numFmtId="0" fontId="8" fillId="2" borderId="0" xfId="0" applyFont="1" applyFill="1" applyAlignment="1">
      <alignment readingOrder="2"/>
    </xf>
    <xf numFmtId="0" fontId="8" fillId="2" borderId="0" xfId="0" applyFont="1" applyFill="1" applyAlignment="1">
      <alignment horizontal="center" vertical="center" readingOrder="2"/>
    </xf>
    <xf numFmtId="0" fontId="7" fillId="0" borderId="10" xfId="0" applyFont="1" applyBorder="1" applyAlignment="1">
      <alignment horizontal="center" vertical="center" readingOrder="2"/>
    </xf>
    <xf numFmtId="0" fontId="7" fillId="0" borderId="7" xfId="0" applyFont="1" applyBorder="1" applyAlignment="1">
      <alignment horizontal="center" vertical="center" readingOrder="2"/>
    </xf>
    <xf numFmtId="0" fontId="7" fillId="2" borderId="0" xfId="0" applyFont="1" applyFill="1" applyBorder="1" applyAlignment="1">
      <alignment horizontal="right" vertical="center" readingOrder="2"/>
    </xf>
    <xf numFmtId="164" fontId="7" fillId="2" borderId="0" xfId="0" applyNumberFormat="1" applyFont="1" applyFill="1" applyBorder="1" applyAlignment="1">
      <alignment horizontal="center" vertical="center" readingOrder="2"/>
    </xf>
    <xf numFmtId="0" fontId="7" fillId="0" borderId="0" xfId="0" applyFont="1" applyBorder="1" applyAlignment="1">
      <alignment horizontal="right" vertical="center" readingOrder="2"/>
    </xf>
    <xf numFmtId="164" fontId="7" fillId="0" borderId="0" xfId="0" applyNumberFormat="1" applyFont="1" applyBorder="1" applyAlignment="1">
      <alignment horizontal="center" vertical="center" readingOrder="2"/>
    </xf>
    <xf numFmtId="0" fontId="7" fillId="2" borderId="0" xfId="0" applyFont="1" applyFill="1" applyAlignment="1">
      <alignment readingOrder="2"/>
    </xf>
    <xf numFmtId="0" fontId="8" fillId="0" borderId="0" xfId="0" applyFont="1" applyAlignment="1">
      <alignment readingOrder="2"/>
    </xf>
    <xf numFmtId="0" fontId="8" fillId="0" borderId="0" xfId="0" applyFont="1" applyAlignment="1">
      <alignment horizontal="center" vertical="center" readingOrder="2"/>
    </xf>
    <xf numFmtId="0" fontId="7" fillId="2" borderId="12" xfId="0" applyFont="1" applyFill="1" applyBorder="1" applyAlignment="1">
      <alignment horizontal="right" readingOrder="2"/>
    </xf>
    <xf numFmtId="0" fontId="7" fillId="0" borderId="12" xfId="0" applyFont="1" applyBorder="1" applyAlignment="1">
      <alignment horizontal="right" readingOrder="2"/>
    </xf>
    <xf numFmtId="0" fontId="9" fillId="2" borderId="0" xfId="0" applyFont="1" applyFill="1" applyAlignment="1">
      <alignment horizontal="center" vertical="center" readingOrder="2"/>
    </xf>
    <xf numFmtId="2" fontId="7" fillId="2" borderId="0" xfId="0" applyNumberFormat="1" applyFont="1" applyFill="1" applyBorder="1" applyAlignment="1">
      <alignment horizontal="center" vertical="center" readingOrder="2"/>
    </xf>
    <xf numFmtId="2" fontId="7" fillId="0" borderId="0" xfId="0" applyNumberFormat="1" applyFont="1" applyBorder="1" applyAlignment="1">
      <alignment horizontal="center" vertical="center" readingOrder="2"/>
    </xf>
    <xf numFmtId="0" fontId="7" fillId="2" borderId="19" xfId="0" applyFont="1" applyFill="1" applyBorder="1" applyAlignment="1">
      <alignment horizontal="center" vertical="center" readingOrder="2"/>
    </xf>
    <xf numFmtId="1" fontId="7" fillId="2" borderId="19" xfId="0" applyNumberFormat="1" applyFont="1" applyFill="1" applyBorder="1" applyAlignment="1">
      <alignment horizontal="center" vertical="center" readingOrder="2"/>
    </xf>
    <xf numFmtId="1" fontId="7" fillId="2" borderId="0" xfId="0" applyNumberFormat="1" applyFont="1" applyFill="1" applyBorder="1" applyAlignment="1">
      <alignment horizontal="center" vertical="center" readingOrder="2"/>
    </xf>
    <xf numFmtId="0" fontId="11" fillId="0" borderId="7" xfId="0" applyFont="1" applyBorder="1" applyAlignment="1">
      <alignment horizontal="center" vertical="center" readingOrder="2"/>
    </xf>
    <xf numFmtId="0" fontId="10" fillId="3" borderId="20" xfId="0" applyFont="1" applyFill="1" applyBorder="1" applyAlignment="1">
      <alignment horizontal="center" vertical="center"/>
    </xf>
    <xf numFmtId="1" fontId="10" fillId="3" borderId="21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 readingOrder="2"/>
    </xf>
    <xf numFmtId="0" fontId="11" fillId="2" borderId="0" xfId="0" applyFont="1" applyFill="1" applyBorder="1" applyAlignment="1">
      <alignment horizontal="center" vertical="center" readingOrder="2"/>
    </xf>
    <xf numFmtId="0" fontId="11" fillId="0" borderId="0" xfId="0" applyFont="1" applyBorder="1" applyAlignment="1">
      <alignment horizontal="center" vertical="center" readingOrder="2"/>
    </xf>
    <xf numFmtId="0" fontId="11" fillId="0" borderId="0" xfId="0" applyFont="1" applyAlignment="1">
      <alignment horizontal="center" vertical="center" readingOrder="2"/>
    </xf>
    <xf numFmtId="2" fontId="6" fillId="2" borderId="0" xfId="0" applyNumberFormat="1" applyFont="1" applyFill="1" applyBorder="1" applyAlignment="1">
      <alignment horizontal="center" vertical="center" readingOrder="2"/>
    </xf>
    <xf numFmtId="2" fontId="6" fillId="2" borderId="13" xfId="0" applyNumberFormat="1" applyFont="1" applyFill="1" applyBorder="1" applyAlignment="1">
      <alignment horizontal="center" vertical="center" readingOrder="2"/>
    </xf>
    <xf numFmtId="2" fontId="6" fillId="0" borderId="0" xfId="0" applyNumberFormat="1" applyFont="1" applyBorder="1" applyAlignment="1">
      <alignment horizontal="center" vertical="center" readingOrder="2"/>
    </xf>
    <xf numFmtId="2" fontId="6" fillId="0" borderId="13" xfId="0" applyNumberFormat="1" applyFont="1" applyBorder="1" applyAlignment="1">
      <alignment horizontal="center" vertical="center" readingOrder="2"/>
    </xf>
    <xf numFmtId="1" fontId="6" fillId="2" borderId="0" xfId="0" applyNumberFormat="1" applyFont="1" applyFill="1" applyBorder="1" applyAlignment="1">
      <alignment horizontal="center" vertical="center" readingOrder="2"/>
    </xf>
    <xf numFmtId="0" fontId="7" fillId="0" borderId="0" xfId="0" applyFont="1" applyBorder="1" applyAlignment="1">
      <alignment horizontal="center" vertical="center" readingOrder="2"/>
    </xf>
    <xf numFmtId="0" fontId="7" fillId="0" borderId="0" xfId="0" applyFont="1" applyBorder="1" applyAlignment="1">
      <alignment horizontal="right" indent="1" readingOrder="2"/>
    </xf>
    <xf numFmtId="0" fontId="7" fillId="2" borderId="0" xfId="0" applyFont="1" applyFill="1" applyBorder="1" applyAlignment="1">
      <alignment horizontal="right" indent="1" readingOrder="2"/>
    </xf>
    <xf numFmtId="0" fontId="7" fillId="2" borderId="0" xfId="0" applyFont="1" applyFill="1" applyBorder="1"/>
    <xf numFmtId="0" fontId="7" fillId="0" borderId="2" xfId="0" applyFont="1" applyBorder="1" applyAlignment="1">
      <alignment horizontal="center" vertical="center" readingOrder="2"/>
    </xf>
    <xf numFmtId="0" fontId="7" fillId="0" borderId="1" xfId="0" applyFont="1" applyBorder="1" applyAlignment="1">
      <alignment horizontal="center" vertical="center" readingOrder="2"/>
    </xf>
    <xf numFmtId="0" fontId="7" fillId="0" borderId="4" xfId="0" applyFont="1" applyBorder="1" applyAlignment="1">
      <alignment horizontal="center" vertical="center" readingOrder="2"/>
    </xf>
    <xf numFmtId="0" fontId="2" fillId="2" borderId="22" xfId="0" applyFont="1" applyFill="1" applyBorder="1"/>
    <xf numFmtId="0" fontId="1" fillId="2" borderId="22" xfId="0" applyFont="1" applyFill="1" applyBorder="1" applyAlignment="1">
      <alignment horizontal="right" indent="1" readingOrder="2"/>
    </xf>
    <xf numFmtId="1" fontId="7" fillId="3" borderId="4" xfId="0" applyNumberFormat="1" applyFont="1" applyFill="1" applyBorder="1" applyAlignment="1">
      <alignment horizontal="center" vertical="center"/>
    </xf>
    <xf numFmtId="2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right" indent="1" readingOrder="2"/>
    </xf>
    <xf numFmtId="1" fontId="7" fillId="3" borderId="5" xfId="0" applyNumberFormat="1" applyFont="1" applyFill="1" applyBorder="1" applyAlignment="1">
      <alignment horizontal="center" vertical="center"/>
    </xf>
    <xf numFmtId="2" fontId="7" fillId="3" borderId="5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indent="1" readingOrder="2"/>
    </xf>
    <xf numFmtId="164" fontId="11" fillId="2" borderId="0" xfId="0" applyNumberFormat="1" applyFont="1" applyFill="1" applyBorder="1" applyAlignment="1">
      <alignment horizontal="center" vertical="center"/>
    </xf>
    <xf numFmtId="164" fontId="11" fillId="0" borderId="0" xfId="0" applyNumberFormat="1" applyFont="1" applyBorder="1" applyAlignment="1">
      <alignment horizontal="center" vertical="center"/>
    </xf>
    <xf numFmtId="2" fontId="11" fillId="0" borderId="0" xfId="0" applyNumberFormat="1" applyFont="1" applyBorder="1" applyAlignment="1">
      <alignment horizontal="center" vertical="center"/>
    </xf>
    <xf numFmtId="2" fontId="11" fillId="2" borderId="0" xfId="0" applyNumberFormat="1" applyFont="1" applyFill="1" applyBorder="1" applyAlignment="1">
      <alignment horizontal="center" vertical="center"/>
    </xf>
    <xf numFmtId="1" fontId="11" fillId="2" borderId="0" xfId="0" applyNumberFormat="1" applyFont="1" applyFill="1" applyBorder="1" applyAlignment="1">
      <alignment horizontal="center" vertical="center" readingOrder="2"/>
    </xf>
    <xf numFmtId="0" fontId="11" fillId="0" borderId="0" xfId="0" applyFont="1" applyBorder="1" applyAlignment="1">
      <alignment horizontal="right" indent="1" readingOrder="2"/>
    </xf>
    <xf numFmtId="0" fontId="11" fillId="2" borderId="0" xfId="0" applyFont="1" applyFill="1" applyBorder="1" applyAlignment="1">
      <alignment horizontal="right" indent="1" readingOrder="2"/>
    </xf>
    <xf numFmtId="0" fontId="7" fillId="3" borderId="6" xfId="0" applyFont="1" applyFill="1" applyBorder="1" applyAlignment="1">
      <alignment horizontal="right" indent="1" readingOrder="2"/>
    </xf>
    <xf numFmtId="0" fontId="7" fillId="3" borderId="8" xfId="0" applyFont="1" applyFill="1" applyBorder="1" applyAlignment="1">
      <alignment horizontal="right" indent="1" readingOrder="2"/>
    </xf>
    <xf numFmtId="0" fontId="6" fillId="2" borderId="15" xfId="0" applyFont="1" applyFill="1" applyBorder="1" applyAlignment="1">
      <alignment horizontal="center" vertical="center" readingOrder="2"/>
    </xf>
    <xf numFmtId="0" fontId="11" fillId="2" borderId="15" xfId="0" applyFont="1" applyFill="1" applyBorder="1" applyAlignment="1">
      <alignment horizontal="center" vertical="center" readingOrder="2"/>
    </xf>
    <xf numFmtId="0" fontId="7" fillId="2" borderId="0" xfId="0" applyFont="1" applyFill="1" applyBorder="1" applyAlignment="1">
      <alignment horizontal="right" readingOrder="2"/>
    </xf>
    <xf numFmtId="0" fontId="7" fillId="2" borderId="0" xfId="0" applyFont="1" applyFill="1" applyBorder="1" applyAlignment="1">
      <alignment readingOrder="2"/>
    </xf>
    <xf numFmtId="3" fontId="5" fillId="0" borderId="12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right" vertical="center" readingOrder="2"/>
    </xf>
    <xf numFmtId="164" fontId="7" fillId="0" borderId="0" xfId="0" applyNumberFormat="1" applyFont="1" applyFill="1" applyBorder="1" applyAlignment="1">
      <alignment horizontal="center" vertical="center" readingOrder="2"/>
    </xf>
    <xf numFmtId="2" fontId="7" fillId="0" borderId="0" xfId="0" applyNumberFormat="1" applyFont="1" applyFill="1" applyBorder="1" applyAlignment="1">
      <alignment horizontal="center" vertical="center" readingOrder="2"/>
    </xf>
    <xf numFmtId="2" fontId="6" fillId="0" borderId="0" xfId="0" applyNumberFormat="1" applyFont="1" applyFill="1" applyBorder="1" applyAlignment="1">
      <alignment horizontal="center" vertical="center" readingOrder="2"/>
    </xf>
    <xf numFmtId="2" fontId="6" fillId="0" borderId="13" xfId="0" applyNumberFormat="1" applyFont="1" applyFill="1" applyBorder="1" applyAlignment="1">
      <alignment horizontal="center" vertical="center" readingOrder="2"/>
    </xf>
    <xf numFmtId="0" fontId="2" fillId="0" borderId="0" xfId="0" applyFont="1" applyFill="1"/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3" fontId="5" fillId="2" borderId="14" xfId="0" applyNumberFormat="1" applyFont="1" applyFill="1" applyBorder="1" applyAlignment="1">
      <alignment horizontal="center"/>
    </xf>
    <xf numFmtId="1" fontId="5" fillId="2" borderId="15" xfId="0" applyNumberFormat="1" applyFont="1" applyFill="1" applyBorder="1" applyAlignment="1">
      <alignment horizontal="center"/>
    </xf>
    <xf numFmtId="0" fontId="7" fillId="2" borderId="15" xfId="0" applyFont="1" applyFill="1" applyBorder="1" applyAlignment="1">
      <alignment horizontal="right" vertical="center" readingOrder="2"/>
    </xf>
    <xf numFmtId="164" fontId="7" fillId="2" borderId="15" xfId="0" applyNumberFormat="1" applyFont="1" applyFill="1" applyBorder="1" applyAlignment="1">
      <alignment horizontal="center" vertical="center" readingOrder="2"/>
    </xf>
    <xf numFmtId="2" fontId="7" fillId="2" borderId="15" xfId="0" applyNumberFormat="1" applyFont="1" applyFill="1" applyBorder="1" applyAlignment="1">
      <alignment horizontal="center" vertical="center" readingOrder="2"/>
    </xf>
    <xf numFmtId="2" fontId="6" fillId="2" borderId="15" xfId="0" applyNumberFormat="1" applyFont="1" applyFill="1" applyBorder="1" applyAlignment="1">
      <alignment horizontal="center" vertical="center" readingOrder="2"/>
    </xf>
    <xf numFmtId="2" fontId="6" fillId="2" borderId="16" xfId="0" applyNumberFormat="1" applyFont="1" applyFill="1" applyBorder="1" applyAlignment="1">
      <alignment horizontal="center" vertical="center" readingOrder="2"/>
    </xf>
    <xf numFmtId="0" fontId="4" fillId="2" borderId="6" xfId="0" applyFont="1" applyFill="1" applyBorder="1" applyAlignment="1">
      <alignment horizontal="right" vertical="center" readingOrder="2"/>
    </xf>
    <xf numFmtId="0" fontId="7" fillId="2" borderId="7" xfId="0" applyFont="1" applyFill="1" applyBorder="1" applyAlignment="1">
      <alignment horizontal="right" indent="1" readingOrder="2"/>
    </xf>
    <xf numFmtId="0" fontId="7" fillId="2" borderId="14" xfId="0" applyFont="1" applyFill="1" applyBorder="1" applyAlignment="1">
      <alignment horizontal="right" readingOrder="2"/>
    </xf>
    <xf numFmtId="0" fontId="7" fillId="2" borderId="16" xfId="0" applyFont="1" applyFill="1" applyBorder="1" applyAlignment="1">
      <alignment horizontal="right" indent="1" readingOrder="2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0" fontId="16" fillId="0" borderId="0" xfId="0" applyFont="1"/>
    <xf numFmtId="0" fontId="17" fillId="4" borderId="23" xfId="0" applyFont="1" applyFill="1" applyBorder="1" applyAlignment="1">
      <alignment horizontal="center"/>
    </xf>
    <xf numFmtId="0" fontId="18" fillId="4" borderId="23" xfId="0" applyFont="1" applyFill="1" applyBorder="1" applyAlignment="1">
      <alignment horizontal="right"/>
    </xf>
    <xf numFmtId="0" fontId="12" fillId="4" borderId="19" xfId="0" applyFont="1" applyFill="1" applyBorder="1" applyAlignment="1">
      <alignment horizontal="center"/>
    </xf>
    <xf numFmtId="0" fontId="18" fillId="4" borderId="19" xfId="0" applyFont="1" applyFill="1" applyBorder="1" applyAlignment="1">
      <alignment horizontal="center"/>
    </xf>
    <xf numFmtId="0" fontId="0" fillId="0" borderId="24" xfId="0" applyBorder="1"/>
    <xf numFmtId="0" fontId="0" fillId="0" borderId="25" xfId="0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7" fillId="0" borderId="25" xfId="0" applyFont="1" applyBorder="1" applyAlignment="1">
      <alignment horizontal="center"/>
    </xf>
    <xf numFmtId="0" fontId="14" fillId="0" borderId="25" xfId="0" applyFont="1" applyBorder="1" applyAlignment="1">
      <alignment horizontal="center" readingOrder="2"/>
    </xf>
    <xf numFmtId="0" fontId="13" fillId="0" borderId="24" xfId="0" applyFont="1" applyBorder="1" applyAlignment="1">
      <alignment horizontal="right"/>
    </xf>
    <xf numFmtId="0" fontId="13" fillId="0" borderId="25" xfId="0" applyFont="1" applyBorder="1" applyAlignment="1">
      <alignment horizontal="right"/>
    </xf>
    <xf numFmtId="0" fontId="15" fillId="0" borderId="25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16" fillId="0" borderId="25" xfId="0" applyFont="1" applyBorder="1"/>
    <xf numFmtId="0" fontId="16" fillId="0" borderId="26" xfId="0" applyFont="1" applyBorder="1"/>
    <xf numFmtId="0" fontId="0" fillId="0" borderId="12" xfId="0" applyBorder="1"/>
    <xf numFmtId="3" fontId="12" fillId="0" borderId="0" xfId="0" applyNumberFormat="1" applyFont="1" applyAlignment="1">
      <alignment horizontal="center"/>
    </xf>
    <xf numFmtId="3" fontId="17" fillId="0" borderId="0" xfId="0" applyNumberFormat="1" applyFont="1" applyAlignment="1">
      <alignment horizontal="center"/>
    </xf>
    <xf numFmtId="3" fontId="14" fillId="0" borderId="0" xfId="0" applyNumberFormat="1" applyFont="1" applyAlignment="1">
      <alignment horizontal="center"/>
    </xf>
    <xf numFmtId="0" fontId="13" fillId="0" borderId="12" xfId="0" applyFont="1" applyBorder="1" applyAlignment="1">
      <alignment horizontal="right"/>
    </xf>
    <xf numFmtId="2" fontId="13" fillId="0" borderId="0" xfId="0" applyNumberFormat="1" applyFont="1" applyAlignment="1">
      <alignment horizontal="center"/>
    </xf>
    <xf numFmtId="3" fontId="15" fillId="0" borderId="0" xfId="0" applyNumberFormat="1" applyFont="1" applyAlignment="1">
      <alignment horizontal="center"/>
    </xf>
    <xf numFmtId="165" fontId="0" fillId="0" borderId="13" xfId="0" applyNumberFormat="1" applyBorder="1" applyAlignment="1">
      <alignment horizontal="center"/>
    </xf>
    <xf numFmtId="0" fontId="16" fillId="0" borderId="0" xfId="0" applyFont="1" applyAlignment="1">
      <alignment horizontal="center"/>
    </xf>
    <xf numFmtId="1" fontId="16" fillId="0" borderId="13" xfId="0" applyNumberFormat="1" applyFont="1" applyBorder="1" applyAlignment="1">
      <alignment horizontal="center"/>
    </xf>
    <xf numFmtId="3" fontId="17" fillId="0" borderId="27" xfId="0" applyNumberFormat="1" applyFont="1" applyBorder="1" applyAlignment="1">
      <alignment horizontal="center"/>
    </xf>
    <xf numFmtId="164" fontId="16" fillId="0" borderId="13" xfId="0" applyNumberFormat="1" applyFont="1" applyBorder="1" applyAlignment="1">
      <alignment horizontal="center"/>
    </xf>
    <xf numFmtId="0" fontId="17" fillId="0" borderId="0" xfId="0" applyFont="1" applyAlignment="1">
      <alignment horizontal="center"/>
    </xf>
    <xf numFmtId="2" fontId="17" fillId="0" borderId="0" xfId="0" applyNumberFormat="1" applyFont="1" applyAlignment="1">
      <alignment horizontal="center"/>
    </xf>
    <xf numFmtId="165" fontId="17" fillId="0" borderId="0" xfId="0" applyNumberFormat="1" applyFont="1" applyAlignment="1">
      <alignment horizontal="center"/>
    </xf>
    <xf numFmtId="0" fontId="0" fillId="0" borderId="13" xfId="0" applyBorder="1" applyAlignment="1">
      <alignment horizontal="center"/>
    </xf>
    <xf numFmtId="0" fontId="0" fillId="0" borderId="17" xfId="0" applyBorder="1"/>
    <xf numFmtId="0" fontId="0" fillId="0" borderId="7" xfId="0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3" fillId="0" borderId="17" xfId="0" applyFont="1" applyBorder="1" applyAlignment="1">
      <alignment horizontal="right"/>
    </xf>
    <xf numFmtId="2" fontId="13" fillId="0" borderId="7" xfId="0" applyNumberFormat="1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165" fontId="0" fillId="0" borderId="18" xfId="0" applyNumberFormat="1" applyBorder="1" applyAlignment="1">
      <alignment horizontal="center"/>
    </xf>
    <xf numFmtId="0" fontId="16" fillId="0" borderId="7" xfId="0" applyFont="1" applyBorder="1" applyAlignment="1">
      <alignment horizontal="center"/>
    </xf>
    <xf numFmtId="1" fontId="16" fillId="0" borderId="18" xfId="0" applyNumberFormat="1" applyFont="1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3" fillId="0" borderId="14" xfId="0" applyFont="1" applyBorder="1" applyAlignment="1">
      <alignment horizontal="right"/>
    </xf>
    <xf numFmtId="0" fontId="13" fillId="0" borderId="15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165" fontId="13" fillId="2" borderId="16" xfId="0" applyNumberFormat="1" applyFont="1" applyFill="1" applyBorder="1" applyAlignment="1">
      <alignment horizontal="center"/>
    </xf>
    <xf numFmtId="0" fontId="16" fillId="0" borderId="15" xfId="0" applyFont="1" applyBorder="1"/>
    <xf numFmtId="1" fontId="19" fillId="2" borderId="16" xfId="0" applyNumberFormat="1" applyFont="1" applyFill="1" applyBorder="1" applyAlignment="1">
      <alignment horizontal="center"/>
    </xf>
    <xf numFmtId="0" fontId="0" fillId="0" borderId="25" xfId="0" applyBorder="1"/>
    <xf numFmtId="0" fontId="16" fillId="0" borderId="24" xfId="0" applyFont="1" applyBorder="1"/>
    <xf numFmtId="2" fontId="0" fillId="0" borderId="13" xfId="0" applyNumberForma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0" fillId="0" borderId="7" xfId="0" applyBorder="1"/>
    <xf numFmtId="0" fontId="0" fillId="0" borderId="18" xfId="0" applyBorder="1" applyAlignment="1">
      <alignment horizontal="center"/>
    </xf>
    <xf numFmtId="2" fontId="0" fillId="0" borderId="18" xfId="0" applyNumberForma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0" fillId="0" borderId="15" xfId="0" applyBorder="1"/>
    <xf numFmtId="0" fontId="0" fillId="0" borderId="16" xfId="0" applyBorder="1" applyAlignment="1">
      <alignment horizontal="center"/>
    </xf>
    <xf numFmtId="2" fontId="13" fillId="0" borderId="15" xfId="0" applyNumberFormat="1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166" fontId="14" fillId="0" borderId="0" xfId="0" applyNumberFormat="1" applyFont="1" applyAlignment="1">
      <alignment horizontal="center"/>
    </xf>
    <xf numFmtId="0" fontId="6" fillId="0" borderId="7" xfId="0" applyFont="1" applyBorder="1" applyAlignment="1">
      <alignment horizontal="center" vertical="center" readingOrder="2"/>
    </xf>
    <xf numFmtId="0" fontId="7" fillId="0" borderId="10" xfId="0" applyFont="1" applyBorder="1" applyAlignment="1">
      <alignment horizontal="center" vertical="center" readingOrder="2"/>
    </xf>
    <xf numFmtId="0" fontId="7" fillId="0" borderId="7" xfId="0" applyFont="1" applyBorder="1" applyAlignment="1">
      <alignment horizontal="center" vertical="center" readingOrder="2"/>
    </xf>
    <xf numFmtId="1" fontId="4" fillId="2" borderId="13" xfId="0" applyNumberFormat="1" applyFont="1" applyFill="1" applyBorder="1" applyAlignment="1">
      <alignment horizontal="center" readingOrder="2"/>
    </xf>
    <xf numFmtId="1" fontId="4" fillId="2" borderId="16" xfId="0" applyNumberFormat="1" applyFont="1" applyFill="1" applyBorder="1" applyAlignment="1">
      <alignment horizontal="center" readingOrder="2"/>
    </xf>
    <xf numFmtId="164" fontId="4" fillId="2" borderId="0" xfId="0" applyNumberFormat="1" applyFont="1" applyFill="1" applyBorder="1" applyAlignment="1">
      <alignment horizontal="center" vertical="center" readingOrder="2"/>
    </xf>
    <xf numFmtId="164" fontId="4" fillId="2" borderId="14" xfId="0" applyNumberFormat="1" applyFont="1" applyFill="1" applyBorder="1" applyAlignment="1">
      <alignment horizontal="center" vertical="center" readingOrder="2"/>
    </xf>
    <xf numFmtId="0" fontId="4" fillId="2" borderId="0" xfId="0" applyFont="1" applyFill="1" applyAlignment="1">
      <alignment horizontal="center" vertical="center" readingOrder="2"/>
    </xf>
    <xf numFmtId="0" fontId="4" fillId="0" borderId="10" xfId="0" applyFont="1" applyBorder="1" applyAlignment="1">
      <alignment horizontal="center" vertical="center" readingOrder="2"/>
    </xf>
    <xf numFmtId="0" fontId="4" fillId="0" borderId="7" xfId="0" applyFont="1" applyBorder="1" applyAlignment="1">
      <alignment horizontal="center" vertical="center" readingOrder="2"/>
    </xf>
    <xf numFmtId="0" fontId="4" fillId="2" borderId="0" xfId="0" applyFont="1" applyFill="1" applyBorder="1" applyAlignment="1">
      <alignment horizontal="center" vertical="center" readingOrder="2"/>
    </xf>
    <xf numFmtId="0" fontId="4" fillId="0" borderId="0" xfId="0" applyFont="1" applyFill="1" applyBorder="1" applyAlignment="1">
      <alignment horizontal="center" vertical="center" readingOrder="2"/>
    </xf>
    <xf numFmtId="0" fontId="4" fillId="0" borderId="0" xfId="0" applyFont="1" applyBorder="1" applyAlignment="1">
      <alignment horizontal="center" vertical="center" readingOrder="2"/>
    </xf>
    <xf numFmtId="0" fontId="4" fillId="2" borderId="15" xfId="0" applyFont="1" applyFill="1" applyBorder="1" applyAlignment="1">
      <alignment horizontal="center" vertical="center" readingOrder="2"/>
    </xf>
    <xf numFmtId="0" fontId="4" fillId="0" borderId="0" xfId="0" applyFont="1" applyAlignment="1">
      <alignment horizontal="center" vertical="center" readingOrder="2"/>
    </xf>
    <xf numFmtId="0" fontId="4" fillId="2" borderId="0" xfId="0" applyFont="1" applyFill="1" applyAlignment="1">
      <alignment readingOrder="2"/>
    </xf>
    <xf numFmtId="0" fontId="4" fillId="2" borderId="0" xfId="0" applyFont="1" applyFill="1" applyAlignment="1">
      <alignment horizontal="center"/>
    </xf>
    <xf numFmtId="0" fontId="20" fillId="0" borderId="10" xfId="0" applyFont="1" applyBorder="1" applyAlignment="1">
      <alignment horizontal="center" vertical="center" readingOrder="2"/>
    </xf>
    <xf numFmtId="0" fontId="4" fillId="0" borderId="11" xfId="0" applyFont="1" applyBorder="1" applyAlignment="1">
      <alignment vertical="center" readingOrder="2"/>
    </xf>
    <xf numFmtId="0" fontId="4" fillId="0" borderId="18" xfId="0" applyFont="1" applyBorder="1" applyAlignment="1">
      <alignment horizontal="center" vertical="center" readingOrder="2"/>
    </xf>
    <xf numFmtId="1" fontId="20" fillId="2" borderId="0" xfId="0" applyNumberFormat="1" applyFont="1" applyFill="1" applyBorder="1" applyAlignment="1">
      <alignment horizontal="center" vertical="center" readingOrder="2"/>
    </xf>
    <xf numFmtId="0" fontId="4" fillId="0" borderId="0" xfId="0" applyFont="1" applyAlignment="1">
      <alignment readingOrder="2"/>
    </xf>
    <xf numFmtId="0" fontId="4" fillId="0" borderId="0" xfId="0" applyFont="1" applyAlignment="1">
      <alignment horizontal="center"/>
    </xf>
    <xf numFmtId="0" fontId="7" fillId="3" borderId="2" xfId="0" applyFont="1" applyFill="1" applyBorder="1" applyAlignment="1">
      <alignment horizontal="center" vertical="center" readingOrder="2"/>
    </xf>
    <xf numFmtId="0" fontId="7" fillId="3" borderId="0" xfId="0" applyFont="1" applyFill="1" applyBorder="1" applyAlignment="1">
      <alignment horizontal="center" vertical="center" readingOrder="2"/>
    </xf>
    <xf numFmtId="1" fontId="11" fillId="3" borderId="0" xfId="0" applyNumberFormat="1" applyFont="1" applyFill="1" applyBorder="1" applyAlignment="1">
      <alignment horizontal="center" vertical="center" readingOrder="2"/>
    </xf>
    <xf numFmtId="164" fontId="11" fillId="3" borderId="0" xfId="0" applyNumberFormat="1" applyFont="1" applyFill="1" applyBorder="1" applyAlignment="1">
      <alignment horizontal="center" vertical="center"/>
    </xf>
    <xf numFmtId="2" fontId="11" fillId="3" borderId="0" xfId="0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right" indent="1" readingOrder="2"/>
    </xf>
    <xf numFmtId="0" fontId="7" fillId="3" borderId="0" xfId="0" applyFont="1" applyFill="1" applyBorder="1" applyAlignment="1">
      <alignment horizontal="right" indent="1" readingOrder="2"/>
    </xf>
    <xf numFmtId="0" fontId="7" fillId="3" borderId="7" xfId="0" applyFont="1" applyFill="1" applyBorder="1" applyAlignment="1">
      <alignment horizontal="right" indent="1" readingOrder="2"/>
    </xf>
    <xf numFmtId="0" fontId="0" fillId="0" borderId="0" xfId="0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readingOrder="2"/>
    </xf>
    <xf numFmtId="0" fontId="6" fillId="0" borderId="7" xfId="0" applyFont="1" applyBorder="1" applyAlignment="1">
      <alignment horizontal="center" vertical="center" readingOrder="2"/>
    </xf>
    <xf numFmtId="0" fontId="7" fillId="0" borderId="11" xfId="0" applyFont="1" applyBorder="1" applyAlignment="1">
      <alignment horizontal="center" vertical="center" readingOrder="2"/>
    </xf>
    <xf numFmtId="0" fontId="7" fillId="0" borderId="18" xfId="0" applyFont="1" applyBorder="1" applyAlignment="1">
      <alignment horizontal="center" vertical="center" readingOrder="2"/>
    </xf>
    <xf numFmtId="0" fontId="2" fillId="3" borderId="1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11" fillId="0" borderId="10" xfId="0" applyFont="1" applyBorder="1" applyAlignment="1">
      <alignment horizontal="center" vertical="center" readingOrder="2"/>
    </xf>
    <xf numFmtId="0" fontId="7" fillId="0" borderId="9" xfId="0" applyFont="1" applyBorder="1" applyAlignment="1">
      <alignment horizontal="center" vertical="center" readingOrder="2"/>
    </xf>
    <xf numFmtId="0" fontId="7" fillId="0" borderId="17" xfId="0" applyFont="1" applyBorder="1" applyAlignment="1">
      <alignment horizontal="center" vertical="center" readingOrder="2"/>
    </xf>
    <xf numFmtId="0" fontId="7" fillId="0" borderId="10" xfId="0" applyFont="1" applyBorder="1" applyAlignment="1">
      <alignment horizontal="center" vertical="center" readingOrder="2"/>
    </xf>
    <xf numFmtId="0" fontId="7" fillId="0" borderId="7" xfId="0" applyFont="1" applyBorder="1" applyAlignment="1">
      <alignment horizontal="center" vertical="center" readingOrder="2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readingOrder="2"/>
    </xf>
  </cellXfs>
  <cellStyles count="1">
    <cellStyle name="Normal" xfId="0" builtinId="0"/>
  </cellStyles>
  <dxfs count="12"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9F2AE-AB08-4506-8C73-D15D5784199B}">
  <dimension ref="A1:L37"/>
  <sheetViews>
    <sheetView rightToLeft="1" workbookViewId="0">
      <selection sqref="A1:B1"/>
    </sheetView>
  </sheetViews>
  <sheetFormatPr defaultRowHeight="14.5" x14ac:dyDescent="0.35"/>
  <cols>
    <col min="2" max="2" width="10" bestFit="1" customWidth="1"/>
    <col min="3" max="3" width="3.453125" style="152" bestFit="1" customWidth="1"/>
    <col min="4" max="4" width="24.1796875" style="153" bestFit="1" customWidth="1"/>
    <col min="5" max="5" width="26" style="152" hidden="1" customWidth="1"/>
    <col min="6" max="6" width="21.08984375" style="154" bestFit="1" customWidth="1"/>
    <col min="7" max="7" width="11" style="155" bestFit="1" customWidth="1"/>
    <col min="8" max="8" width="11" style="155" customWidth="1"/>
    <col min="9" max="9" width="15.7265625" style="156" bestFit="1" customWidth="1"/>
    <col min="10" max="10" width="21" style="152" bestFit="1" customWidth="1"/>
    <col min="11" max="11" width="18.453125" style="157" bestFit="1" customWidth="1"/>
    <col min="12" max="12" width="8.7265625" style="157"/>
  </cols>
  <sheetData>
    <row r="1" spans="1:12" ht="15" thickBot="1" x14ac:dyDescent="0.4">
      <c r="A1" s="254" t="s">
        <v>143</v>
      </c>
      <c r="B1" s="254"/>
    </row>
    <row r="2" spans="1:12" x14ac:dyDescent="0.35">
      <c r="A2" t="s">
        <v>144</v>
      </c>
      <c r="F2" s="158" t="s">
        <v>145</v>
      </c>
      <c r="H2" s="159" t="s">
        <v>83</v>
      </c>
    </row>
    <row r="3" spans="1:12" ht="15" thickBot="1" x14ac:dyDescent="0.4">
      <c r="F3" s="160">
        <v>0.5</v>
      </c>
      <c r="H3" s="161">
        <v>500</v>
      </c>
    </row>
    <row r="4" spans="1:12" x14ac:dyDescent="0.35">
      <c r="B4" s="162"/>
      <c r="C4" s="163"/>
      <c r="D4" s="164" t="s">
        <v>146</v>
      </c>
      <c r="E4" s="165" t="s">
        <v>147</v>
      </c>
      <c r="F4" s="166" t="s">
        <v>148</v>
      </c>
      <c r="G4" s="167" t="s">
        <v>149</v>
      </c>
      <c r="H4" s="168"/>
      <c r="I4" s="169" t="s">
        <v>150</v>
      </c>
      <c r="J4" s="170" t="s">
        <v>151</v>
      </c>
      <c r="K4" s="171" t="s">
        <v>152</v>
      </c>
      <c r="L4" s="172" t="s">
        <v>153</v>
      </c>
    </row>
    <row r="5" spans="1:12" x14ac:dyDescent="0.35">
      <c r="B5" s="173" t="s">
        <v>154</v>
      </c>
      <c r="C5" s="152" t="s">
        <v>155</v>
      </c>
      <c r="D5" s="174">
        <v>4000</v>
      </c>
      <c r="E5" s="175">
        <f>D5*10000/$F$3</f>
        <v>80000000</v>
      </c>
      <c r="F5" s="176">
        <f>E5/100</f>
        <v>800000</v>
      </c>
      <c r="G5" s="177" t="s">
        <v>156</v>
      </c>
      <c r="H5" s="178">
        <f t="shared" ref="H5:H21" si="0">J5*$H$3/100</f>
        <v>0.4</v>
      </c>
      <c r="I5" s="179">
        <v>1000000000</v>
      </c>
      <c r="J5" s="180">
        <f>E5/I5</f>
        <v>0.08</v>
      </c>
      <c r="K5" s="181">
        <v>700</v>
      </c>
      <c r="L5" s="182">
        <f t="shared" ref="L5:L21" si="1">J5*K5%</f>
        <v>0.56000000000000005</v>
      </c>
    </row>
    <row r="6" spans="1:12" ht="15" thickBot="1" x14ac:dyDescent="0.4">
      <c r="B6" s="173" t="s">
        <v>157</v>
      </c>
      <c r="C6" s="152" t="s">
        <v>155</v>
      </c>
      <c r="D6" s="153">
        <v>2500</v>
      </c>
      <c r="E6" s="183">
        <f>D6*10000/$F$3</f>
        <v>50000000</v>
      </c>
      <c r="F6" s="176">
        <f t="shared" ref="F6" si="2">E6/100</f>
        <v>500000</v>
      </c>
      <c r="G6" s="177" t="s">
        <v>158</v>
      </c>
      <c r="H6" s="178">
        <f t="shared" si="0"/>
        <v>0.5</v>
      </c>
      <c r="I6" s="179">
        <v>500000000</v>
      </c>
      <c r="J6" s="180">
        <f>E6/I6</f>
        <v>0.1</v>
      </c>
      <c r="K6" s="181">
        <v>700</v>
      </c>
      <c r="L6" s="184">
        <f t="shared" si="1"/>
        <v>0.70000000000000007</v>
      </c>
    </row>
    <row r="7" spans="1:12" ht="15" thickTop="1" x14ac:dyDescent="0.35">
      <c r="B7" s="173" t="s">
        <v>159</v>
      </c>
      <c r="C7" s="152" t="s">
        <v>160</v>
      </c>
      <c r="D7" s="153">
        <v>200</v>
      </c>
      <c r="E7" s="185">
        <f t="shared" ref="E7:E19" si="3">D7/100/$F$3</f>
        <v>4</v>
      </c>
      <c r="F7" s="176">
        <f>E7*10000</f>
        <v>40000</v>
      </c>
      <c r="G7" s="177" t="s">
        <v>161</v>
      </c>
      <c r="H7" s="178">
        <f t="shared" si="0"/>
        <v>40</v>
      </c>
      <c r="I7" s="156">
        <v>50</v>
      </c>
      <c r="J7" s="180">
        <f t="shared" ref="J7:J19" si="4">E7/I7%</f>
        <v>8</v>
      </c>
      <c r="K7" s="181">
        <v>700</v>
      </c>
      <c r="L7" s="182">
        <f t="shared" si="1"/>
        <v>56</v>
      </c>
    </row>
    <row r="8" spans="1:12" x14ac:dyDescent="0.35">
      <c r="B8" s="173" t="s">
        <v>162</v>
      </c>
      <c r="C8" s="152" t="s">
        <v>160</v>
      </c>
      <c r="D8" s="153">
        <v>8</v>
      </c>
      <c r="E8" s="185">
        <f t="shared" si="3"/>
        <v>0.16</v>
      </c>
      <c r="F8" s="176">
        <f t="shared" ref="F8:F19" si="5">E8*10000</f>
        <v>1600</v>
      </c>
      <c r="G8" s="177" t="s">
        <v>163</v>
      </c>
      <c r="H8" s="178">
        <f t="shared" si="0"/>
        <v>1.8223234624145785</v>
      </c>
      <c r="I8" s="156">
        <v>43.9</v>
      </c>
      <c r="J8" s="180">
        <f t="shared" si="4"/>
        <v>0.36446469248291574</v>
      </c>
      <c r="K8" s="181">
        <v>700</v>
      </c>
      <c r="L8" s="184">
        <f t="shared" si="1"/>
        <v>2.5512528473804101</v>
      </c>
    </row>
    <row r="9" spans="1:12" x14ac:dyDescent="0.35">
      <c r="B9" s="173" t="s">
        <v>164</v>
      </c>
      <c r="C9" s="152" t="s">
        <v>160</v>
      </c>
      <c r="D9" s="153">
        <v>15</v>
      </c>
      <c r="E9" s="186">
        <f t="shared" si="3"/>
        <v>0.3</v>
      </c>
      <c r="F9" s="176">
        <f t="shared" si="5"/>
        <v>3000</v>
      </c>
      <c r="G9" s="177" t="s">
        <v>165</v>
      </c>
      <c r="H9" s="178">
        <f t="shared" si="0"/>
        <v>1.6304347826086953</v>
      </c>
      <c r="I9" s="156">
        <v>92</v>
      </c>
      <c r="J9" s="180">
        <f t="shared" si="4"/>
        <v>0.32608695652173908</v>
      </c>
      <c r="K9" s="181">
        <v>700</v>
      </c>
      <c r="L9" s="182">
        <f t="shared" si="1"/>
        <v>2.2826086956521734</v>
      </c>
    </row>
    <row r="10" spans="1:12" x14ac:dyDescent="0.35">
      <c r="B10" s="173" t="s">
        <v>166</v>
      </c>
      <c r="C10" s="152" t="s">
        <v>160</v>
      </c>
      <c r="D10" s="153">
        <v>25</v>
      </c>
      <c r="E10" s="187">
        <f t="shared" si="3"/>
        <v>0.5</v>
      </c>
      <c r="F10" s="176">
        <f t="shared" si="5"/>
        <v>5000</v>
      </c>
      <c r="G10" s="177" t="s">
        <v>167</v>
      </c>
      <c r="H10" s="178">
        <f t="shared" si="0"/>
        <v>3.125</v>
      </c>
      <c r="I10" s="156">
        <v>80</v>
      </c>
      <c r="J10" s="180">
        <f t="shared" si="4"/>
        <v>0.625</v>
      </c>
      <c r="K10" s="181">
        <v>700</v>
      </c>
      <c r="L10" s="182">
        <f t="shared" si="1"/>
        <v>4.375</v>
      </c>
    </row>
    <row r="11" spans="1:12" x14ac:dyDescent="0.35">
      <c r="B11" s="173" t="s">
        <v>168</v>
      </c>
      <c r="C11" s="152" t="s">
        <v>160</v>
      </c>
      <c r="D11" s="153">
        <v>150</v>
      </c>
      <c r="E11" s="187">
        <f t="shared" si="3"/>
        <v>3</v>
      </c>
      <c r="F11" s="176">
        <f t="shared" si="5"/>
        <v>30000</v>
      </c>
      <c r="G11" s="177" t="s">
        <v>169</v>
      </c>
      <c r="H11" s="178">
        <f t="shared" si="0"/>
        <v>15.075376884422113</v>
      </c>
      <c r="I11" s="156">
        <v>99.5</v>
      </c>
      <c r="J11" s="180">
        <f t="shared" si="4"/>
        <v>3.0150753768844223</v>
      </c>
      <c r="K11" s="181">
        <v>700</v>
      </c>
      <c r="L11" s="182">
        <f t="shared" si="1"/>
        <v>21.105527638190956</v>
      </c>
    </row>
    <row r="12" spans="1:12" x14ac:dyDescent="0.35">
      <c r="B12" s="173" t="s">
        <v>170</v>
      </c>
      <c r="C12" s="152" t="s">
        <v>160</v>
      </c>
      <c r="D12" s="153">
        <v>40</v>
      </c>
      <c r="E12" s="187">
        <f t="shared" si="3"/>
        <v>0.8</v>
      </c>
      <c r="F12" s="176">
        <f t="shared" si="5"/>
        <v>8000</v>
      </c>
      <c r="G12" s="177" t="s">
        <v>171</v>
      </c>
      <c r="H12" s="178">
        <f t="shared" si="0"/>
        <v>4.3478260869565215</v>
      </c>
      <c r="I12" s="156">
        <v>92</v>
      </c>
      <c r="J12" s="180">
        <f t="shared" si="4"/>
        <v>0.86956521739130432</v>
      </c>
      <c r="K12" s="181">
        <v>700</v>
      </c>
      <c r="L12" s="182">
        <f t="shared" si="1"/>
        <v>6.0869565217391299</v>
      </c>
    </row>
    <row r="13" spans="1:12" x14ac:dyDescent="0.35">
      <c r="B13" s="173" t="s">
        <v>172</v>
      </c>
      <c r="C13" s="152" t="s">
        <v>160</v>
      </c>
      <c r="D13" s="153">
        <v>20</v>
      </c>
      <c r="E13" s="185">
        <f t="shared" si="3"/>
        <v>0.4</v>
      </c>
      <c r="F13" s="176">
        <f t="shared" si="5"/>
        <v>4000</v>
      </c>
      <c r="G13" s="177" t="s">
        <v>173</v>
      </c>
      <c r="H13" s="178">
        <f t="shared" si="0"/>
        <v>2.4390243902439028</v>
      </c>
      <c r="I13" s="156">
        <v>82</v>
      </c>
      <c r="J13" s="180">
        <f t="shared" si="4"/>
        <v>0.48780487804878053</v>
      </c>
      <c r="K13" s="181">
        <v>700</v>
      </c>
      <c r="L13" s="182">
        <f t="shared" si="1"/>
        <v>3.4146341463414638</v>
      </c>
    </row>
    <row r="14" spans="1:12" x14ac:dyDescent="0.35">
      <c r="B14" s="173" t="s">
        <v>174</v>
      </c>
      <c r="C14" s="152" t="s">
        <v>160</v>
      </c>
      <c r="D14" s="153">
        <v>1</v>
      </c>
      <c r="E14" s="185">
        <f t="shared" si="3"/>
        <v>0.02</v>
      </c>
      <c r="F14" s="176">
        <f t="shared" si="5"/>
        <v>200</v>
      </c>
      <c r="G14" s="177" t="s">
        <v>175</v>
      </c>
      <c r="H14" s="178">
        <f t="shared" si="0"/>
        <v>5</v>
      </c>
      <c r="I14" s="156">
        <v>2</v>
      </c>
      <c r="J14" s="188">
        <f t="shared" si="4"/>
        <v>1</v>
      </c>
      <c r="K14" s="181">
        <v>700</v>
      </c>
      <c r="L14" s="182">
        <f t="shared" si="1"/>
        <v>7</v>
      </c>
    </row>
    <row r="15" spans="1:12" x14ac:dyDescent="0.35">
      <c r="B15" s="173" t="s">
        <v>176</v>
      </c>
      <c r="C15" s="152" t="s">
        <v>160</v>
      </c>
      <c r="D15" s="153">
        <v>10</v>
      </c>
      <c r="E15" s="185">
        <f t="shared" si="3"/>
        <v>0.2</v>
      </c>
      <c r="F15" s="176">
        <f t="shared" si="5"/>
        <v>2000</v>
      </c>
      <c r="G15" s="177" t="s">
        <v>177</v>
      </c>
      <c r="H15" s="178">
        <f t="shared" si="0"/>
        <v>1.25</v>
      </c>
      <c r="I15" s="156">
        <v>80</v>
      </c>
      <c r="J15" s="180">
        <f t="shared" si="4"/>
        <v>0.25</v>
      </c>
      <c r="K15" s="181">
        <v>700</v>
      </c>
      <c r="L15" s="184">
        <f t="shared" si="1"/>
        <v>1.75</v>
      </c>
    </row>
    <row r="16" spans="1:12" x14ac:dyDescent="0.35">
      <c r="B16" s="173" t="s">
        <v>178</v>
      </c>
      <c r="C16" s="152" t="s">
        <v>160</v>
      </c>
      <c r="D16" s="153">
        <v>0.05</v>
      </c>
      <c r="E16" s="185">
        <f t="shared" si="3"/>
        <v>1E-3</v>
      </c>
      <c r="F16" s="176">
        <f t="shared" si="5"/>
        <v>10</v>
      </c>
      <c r="G16" s="177" t="s">
        <v>179</v>
      </c>
      <c r="H16" s="178">
        <f t="shared" si="0"/>
        <v>0.5</v>
      </c>
      <c r="I16" s="156">
        <v>1</v>
      </c>
      <c r="J16" s="180">
        <f t="shared" si="4"/>
        <v>0.1</v>
      </c>
      <c r="K16" s="181">
        <v>700</v>
      </c>
      <c r="L16" s="184">
        <f t="shared" si="1"/>
        <v>0.70000000000000007</v>
      </c>
    </row>
    <row r="17" spans="2:12" x14ac:dyDescent="0.35">
      <c r="B17" s="173" t="s">
        <v>180</v>
      </c>
      <c r="C17" s="152" t="s">
        <v>160</v>
      </c>
      <c r="D17" s="153">
        <v>150</v>
      </c>
      <c r="E17" s="185">
        <f t="shared" si="3"/>
        <v>3</v>
      </c>
      <c r="F17" s="176">
        <f t="shared" si="5"/>
        <v>30000</v>
      </c>
      <c r="G17" s="177" t="s">
        <v>181</v>
      </c>
      <c r="H17" s="178">
        <f t="shared" si="0"/>
        <v>42.857142857142854</v>
      </c>
      <c r="I17" s="156">
        <v>35</v>
      </c>
      <c r="J17" s="180">
        <f t="shared" si="4"/>
        <v>8.5714285714285712</v>
      </c>
      <c r="K17" s="181">
        <v>700</v>
      </c>
      <c r="L17" s="182">
        <f t="shared" si="1"/>
        <v>60</v>
      </c>
    </row>
    <row r="18" spans="2:12" x14ac:dyDescent="0.35">
      <c r="B18" s="173" t="s">
        <v>182</v>
      </c>
      <c r="C18" s="152" t="s">
        <v>160</v>
      </c>
      <c r="D18" s="153">
        <v>1</v>
      </c>
      <c r="E18" s="185">
        <f t="shared" si="3"/>
        <v>0.02</v>
      </c>
      <c r="F18" s="176">
        <f t="shared" si="5"/>
        <v>200</v>
      </c>
      <c r="G18" s="177" t="s">
        <v>182</v>
      </c>
      <c r="H18" s="178">
        <f t="shared" si="0"/>
        <v>0.1</v>
      </c>
      <c r="I18" s="156">
        <v>100</v>
      </c>
      <c r="J18" s="180">
        <f t="shared" si="4"/>
        <v>0.02</v>
      </c>
      <c r="K18" s="181">
        <v>700</v>
      </c>
      <c r="L18" s="184">
        <f t="shared" si="1"/>
        <v>0.14000000000000001</v>
      </c>
    </row>
    <row r="19" spans="2:12" x14ac:dyDescent="0.35">
      <c r="B19" s="173" t="s">
        <v>183</v>
      </c>
      <c r="C19" s="152" t="s">
        <v>160</v>
      </c>
      <c r="D19" s="153">
        <v>250</v>
      </c>
      <c r="E19" s="185">
        <f t="shared" si="3"/>
        <v>5</v>
      </c>
      <c r="F19" s="176">
        <f t="shared" si="5"/>
        <v>50000</v>
      </c>
      <c r="G19" s="177" t="s">
        <v>34</v>
      </c>
      <c r="H19" s="178">
        <f t="shared" si="0"/>
        <v>55.555555555555557</v>
      </c>
      <c r="I19" s="156">
        <v>45</v>
      </c>
      <c r="J19" s="180">
        <f t="shared" si="4"/>
        <v>11.111111111111111</v>
      </c>
      <c r="K19" s="181">
        <v>700</v>
      </c>
      <c r="L19" s="182">
        <f t="shared" si="1"/>
        <v>77.777777777777771</v>
      </c>
    </row>
    <row r="20" spans="2:12" x14ac:dyDescent="0.35">
      <c r="B20" s="173"/>
      <c r="E20" s="185"/>
      <c r="G20" s="177" t="s">
        <v>25</v>
      </c>
      <c r="H20" s="178">
        <f t="shared" si="0"/>
        <v>175</v>
      </c>
      <c r="J20" s="180">
        <v>35</v>
      </c>
      <c r="K20" s="181">
        <v>350</v>
      </c>
      <c r="L20" s="182">
        <f t="shared" si="1"/>
        <v>122.5</v>
      </c>
    </row>
    <row r="21" spans="2:12" x14ac:dyDescent="0.35">
      <c r="B21" s="189"/>
      <c r="C21" s="190"/>
      <c r="D21" s="191"/>
      <c r="E21" s="192"/>
      <c r="F21" s="193"/>
      <c r="G21" s="194" t="s">
        <v>130</v>
      </c>
      <c r="H21" s="195">
        <f t="shared" si="0"/>
        <v>150.39731598065578</v>
      </c>
      <c r="I21" s="196"/>
      <c r="J21" s="197">
        <f>100-SUM(J5:J20)</f>
        <v>30.079463196131158</v>
      </c>
      <c r="K21" s="198">
        <v>1200</v>
      </c>
      <c r="L21" s="199">
        <f t="shared" si="1"/>
        <v>360.9535583535739</v>
      </c>
    </row>
    <row r="22" spans="2:12" ht="15" thickBot="1" x14ac:dyDescent="0.4">
      <c r="B22" s="200"/>
      <c r="C22" s="201"/>
      <c r="D22" s="202"/>
      <c r="E22" s="201"/>
      <c r="F22" s="203"/>
      <c r="G22" s="204"/>
      <c r="H22" s="205">
        <f>SUM(H5:H21)</f>
        <v>500</v>
      </c>
      <c r="I22" s="206"/>
      <c r="J22" s="207">
        <f>SUM(J5:J21)</f>
        <v>100</v>
      </c>
      <c r="K22" s="208"/>
      <c r="L22" s="209">
        <f>SUM(L5:L21)</f>
        <v>727.89731598065578</v>
      </c>
    </row>
    <row r="24" spans="2:12" ht="15" thickBot="1" x14ac:dyDescent="0.4"/>
    <row r="25" spans="2:12" x14ac:dyDescent="0.35">
      <c r="C25"/>
      <c r="F25" s="158" t="s">
        <v>145</v>
      </c>
      <c r="H25" s="159" t="s">
        <v>83</v>
      </c>
      <c r="K25" s="181"/>
      <c r="L25" s="181"/>
    </row>
    <row r="26" spans="2:12" ht="15" thickBot="1" x14ac:dyDescent="0.4">
      <c r="C26"/>
      <c r="F26" s="160">
        <v>0.5</v>
      </c>
      <c r="H26" s="161">
        <v>500</v>
      </c>
      <c r="K26" s="181"/>
      <c r="L26" s="181"/>
    </row>
    <row r="27" spans="2:12" x14ac:dyDescent="0.35">
      <c r="B27" s="162"/>
      <c r="C27" s="210"/>
      <c r="D27" s="164" t="s">
        <v>184</v>
      </c>
      <c r="E27" s="170" t="s">
        <v>151</v>
      </c>
      <c r="F27" s="166" t="s">
        <v>185</v>
      </c>
      <c r="G27" s="167" t="s">
        <v>149</v>
      </c>
      <c r="H27" s="168" t="s">
        <v>83</v>
      </c>
      <c r="I27" s="169" t="s">
        <v>186</v>
      </c>
      <c r="J27" s="170" t="s">
        <v>151</v>
      </c>
      <c r="K27" s="211" t="s">
        <v>152</v>
      </c>
      <c r="L27" s="172" t="s">
        <v>153</v>
      </c>
    </row>
    <row r="28" spans="2:12" x14ac:dyDescent="0.35">
      <c r="B28" s="173" t="s">
        <v>187</v>
      </c>
      <c r="C28" t="s">
        <v>160</v>
      </c>
      <c r="D28" s="153">
        <v>25</v>
      </c>
      <c r="E28" s="212">
        <f t="shared" ref="E28:E34" si="6">D28/100/$F$26</f>
        <v>0.5</v>
      </c>
      <c r="F28" s="176">
        <f>E28*10000</f>
        <v>5000</v>
      </c>
      <c r="G28" s="177" t="s">
        <v>188</v>
      </c>
      <c r="H28" s="178">
        <f t="shared" ref="H28:H36" si="7">J28*$H$26/100</f>
        <v>7.3529411764705879</v>
      </c>
      <c r="I28" s="156">
        <v>34</v>
      </c>
      <c r="J28" s="212">
        <f t="shared" ref="J28:J34" si="8">E28/I28%</f>
        <v>1.4705882352941175</v>
      </c>
      <c r="K28" s="213">
        <v>1000</v>
      </c>
      <c r="L28" s="182">
        <f>J28*K28%</f>
        <v>14.705882352941176</v>
      </c>
    </row>
    <row r="29" spans="2:12" x14ac:dyDescent="0.35">
      <c r="B29" s="173" t="s">
        <v>189</v>
      </c>
      <c r="C29" t="s">
        <v>160</v>
      </c>
      <c r="D29" s="153">
        <v>12</v>
      </c>
      <c r="E29" s="188">
        <f t="shared" si="6"/>
        <v>0.24</v>
      </c>
      <c r="F29" s="176">
        <f t="shared" ref="F29:F34" si="9">E29*10000</f>
        <v>2400</v>
      </c>
      <c r="G29" s="177" t="s">
        <v>190</v>
      </c>
      <c r="H29" s="178">
        <f t="shared" si="7"/>
        <v>3.75</v>
      </c>
      <c r="I29" s="156">
        <v>32</v>
      </c>
      <c r="J29" s="212">
        <f>E29/I29%</f>
        <v>0.75</v>
      </c>
      <c r="K29" s="213">
        <v>1000</v>
      </c>
      <c r="L29" s="182">
        <f t="shared" ref="L29:L36" si="10">J29*K29%</f>
        <v>7.5</v>
      </c>
    </row>
    <row r="30" spans="2:12" x14ac:dyDescent="0.35">
      <c r="B30" s="173" t="s">
        <v>191</v>
      </c>
      <c r="C30" t="s">
        <v>160</v>
      </c>
      <c r="D30" s="153">
        <v>3</v>
      </c>
      <c r="E30" s="188">
        <f t="shared" si="6"/>
        <v>0.06</v>
      </c>
      <c r="F30" s="176">
        <f t="shared" si="9"/>
        <v>600</v>
      </c>
      <c r="G30" s="177" t="s">
        <v>192</v>
      </c>
      <c r="H30" s="178">
        <f t="shared" si="7"/>
        <v>1.25</v>
      </c>
      <c r="I30" s="156">
        <v>24</v>
      </c>
      <c r="J30" s="212">
        <f t="shared" si="8"/>
        <v>0.25</v>
      </c>
      <c r="K30" s="213">
        <v>1000</v>
      </c>
      <c r="L30" s="182">
        <f t="shared" si="10"/>
        <v>2.5</v>
      </c>
    </row>
    <row r="31" spans="2:12" x14ac:dyDescent="0.35">
      <c r="B31" s="173" t="s">
        <v>193</v>
      </c>
      <c r="C31" t="s">
        <v>160</v>
      </c>
      <c r="D31" s="153">
        <v>0</v>
      </c>
      <c r="E31" s="188">
        <f t="shared" si="6"/>
        <v>0</v>
      </c>
      <c r="F31" s="176">
        <f t="shared" si="9"/>
        <v>0</v>
      </c>
      <c r="G31" s="177" t="s">
        <v>194</v>
      </c>
      <c r="H31" s="178">
        <f t="shared" si="7"/>
        <v>0</v>
      </c>
      <c r="I31" s="156">
        <v>28</v>
      </c>
      <c r="J31" s="212">
        <f t="shared" si="8"/>
        <v>0</v>
      </c>
      <c r="K31" s="213">
        <v>1000</v>
      </c>
      <c r="L31" s="182">
        <f t="shared" si="10"/>
        <v>0</v>
      </c>
    </row>
    <row r="32" spans="2:12" x14ac:dyDescent="0.35">
      <c r="B32" s="173" t="s">
        <v>195</v>
      </c>
      <c r="C32" t="s">
        <v>160</v>
      </c>
      <c r="D32" s="153">
        <v>0.2</v>
      </c>
      <c r="E32" s="188">
        <f t="shared" si="6"/>
        <v>4.0000000000000001E-3</v>
      </c>
      <c r="F32" s="176">
        <f t="shared" si="9"/>
        <v>40</v>
      </c>
      <c r="G32" s="177" t="s">
        <v>196</v>
      </c>
      <c r="H32" s="178">
        <f t="shared" si="7"/>
        <v>2</v>
      </c>
      <c r="I32" s="156">
        <v>1</v>
      </c>
      <c r="J32" s="212">
        <f t="shared" si="8"/>
        <v>0.4</v>
      </c>
      <c r="K32" s="213">
        <v>1000</v>
      </c>
      <c r="L32" s="182">
        <f t="shared" si="10"/>
        <v>4</v>
      </c>
    </row>
    <row r="33" spans="2:12" x14ac:dyDescent="0.35">
      <c r="B33" s="173" t="s">
        <v>197</v>
      </c>
      <c r="C33" t="s">
        <v>160</v>
      </c>
      <c r="D33" s="153">
        <v>1</v>
      </c>
      <c r="E33" s="188">
        <f t="shared" si="6"/>
        <v>0.02</v>
      </c>
      <c r="F33" s="176">
        <f t="shared" si="9"/>
        <v>200</v>
      </c>
      <c r="G33" s="177" t="s">
        <v>198</v>
      </c>
      <c r="H33" s="178">
        <f t="shared" si="7"/>
        <v>0.16666666666666669</v>
      </c>
      <c r="I33" s="156">
        <v>60</v>
      </c>
      <c r="J33" s="212">
        <f t="shared" si="8"/>
        <v>3.3333333333333333E-2</v>
      </c>
      <c r="K33" s="213">
        <v>1000</v>
      </c>
      <c r="L33" s="182">
        <f t="shared" si="10"/>
        <v>0.33333333333333331</v>
      </c>
    </row>
    <row r="34" spans="2:12" x14ac:dyDescent="0.35">
      <c r="B34" s="173" t="s">
        <v>183</v>
      </c>
      <c r="C34" t="s">
        <v>160</v>
      </c>
      <c r="D34" s="153">
        <v>250</v>
      </c>
      <c r="E34" s="188">
        <f t="shared" si="6"/>
        <v>5</v>
      </c>
      <c r="F34" s="176">
        <f t="shared" si="9"/>
        <v>50000</v>
      </c>
      <c r="G34" s="177" t="s">
        <v>34</v>
      </c>
      <c r="H34" s="178">
        <f t="shared" si="7"/>
        <v>55.555555555555557</v>
      </c>
      <c r="I34" s="156">
        <v>45</v>
      </c>
      <c r="J34" s="212">
        <f t="shared" si="8"/>
        <v>11.111111111111111</v>
      </c>
      <c r="K34" s="213">
        <v>700</v>
      </c>
      <c r="L34" s="182">
        <f t="shared" si="10"/>
        <v>77.777777777777771</v>
      </c>
    </row>
    <row r="35" spans="2:12" x14ac:dyDescent="0.35">
      <c r="B35" s="173"/>
      <c r="C35"/>
      <c r="E35" s="188"/>
      <c r="G35" s="177" t="s">
        <v>25</v>
      </c>
      <c r="H35" s="178">
        <f t="shared" si="7"/>
        <v>200</v>
      </c>
      <c r="J35" s="212">
        <v>40</v>
      </c>
      <c r="K35" s="213">
        <v>350</v>
      </c>
      <c r="L35" s="182">
        <f t="shared" si="10"/>
        <v>140</v>
      </c>
    </row>
    <row r="36" spans="2:12" x14ac:dyDescent="0.35">
      <c r="B36" s="189"/>
      <c r="C36" s="214"/>
      <c r="D36" s="191"/>
      <c r="E36" s="215"/>
      <c r="F36" s="190"/>
      <c r="G36" s="194" t="s">
        <v>130</v>
      </c>
      <c r="H36" s="195">
        <f t="shared" si="7"/>
        <v>229.92483660130722</v>
      </c>
      <c r="I36" s="196"/>
      <c r="J36" s="216">
        <f>100-SUM(J28:J35)</f>
        <v>45.98496732026144</v>
      </c>
      <c r="K36" s="217">
        <v>1200</v>
      </c>
      <c r="L36" s="199">
        <f t="shared" si="10"/>
        <v>551.81960784313731</v>
      </c>
    </row>
    <row r="37" spans="2:12" ht="15" thickBot="1" x14ac:dyDescent="0.4">
      <c r="B37" s="200"/>
      <c r="C37" s="218"/>
      <c r="D37" s="202"/>
      <c r="E37" s="219"/>
      <c r="F37" s="201"/>
      <c r="G37" s="204"/>
      <c r="H37" s="220">
        <f>SUM(H28:H36)</f>
        <v>500</v>
      </c>
      <c r="I37" s="206"/>
      <c r="J37" s="207">
        <f>SUM(J28:J36)</f>
        <v>100</v>
      </c>
      <c r="K37" s="221"/>
      <c r="L37" s="209">
        <f>SUM(L28:L36)</f>
        <v>798.63660130718961</v>
      </c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61EDA-7E42-447A-9C4D-C45E5C463B62}">
  <dimension ref="A1:L37"/>
  <sheetViews>
    <sheetView rightToLeft="1" workbookViewId="0">
      <selection sqref="A1:B1"/>
    </sheetView>
  </sheetViews>
  <sheetFormatPr defaultRowHeight="14.5" x14ac:dyDescent="0.35"/>
  <cols>
    <col min="2" max="2" width="10" bestFit="1" customWidth="1"/>
    <col min="3" max="3" width="3.453125" style="152" bestFit="1" customWidth="1"/>
    <col min="4" max="4" width="24.1796875" style="153" bestFit="1" customWidth="1"/>
    <col min="5" max="5" width="26" style="152" hidden="1" customWidth="1"/>
    <col min="6" max="6" width="21.08984375" style="154" bestFit="1" customWidth="1"/>
    <col min="7" max="7" width="11" style="155" bestFit="1" customWidth="1"/>
    <col min="8" max="8" width="11" style="155" customWidth="1"/>
    <col min="9" max="9" width="15.7265625" style="156" bestFit="1" customWidth="1"/>
    <col min="10" max="10" width="21" style="152" bestFit="1" customWidth="1"/>
    <col min="11" max="11" width="18.453125" style="157" bestFit="1" customWidth="1"/>
    <col min="12" max="12" width="8.7265625" style="157"/>
  </cols>
  <sheetData>
    <row r="1" spans="1:12" ht="15" thickBot="1" x14ac:dyDescent="0.4">
      <c r="A1" s="254" t="s">
        <v>199</v>
      </c>
      <c r="B1" s="254"/>
    </row>
    <row r="2" spans="1:12" x14ac:dyDescent="0.35">
      <c r="F2" s="158" t="s">
        <v>145</v>
      </c>
      <c r="H2" s="159" t="s">
        <v>83</v>
      </c>
    </row>
    <row r="3" spans="1:12" ht="15" thickBot="1" x14ac:dyDescent="0.4">
      <c r="F3" s="160">
        <v>0.5</v>
      </c>
      <c r="H3" s="161">
        <v>500</v>
      </c>
    </row>
    <row r="4" spans="1:12" x14ac:dyDescent="0.35">
      <c r="B4" s="162"/>
      <c r="C4" s="163"/>
      <c r="D4" s="164" t="s">
        <v>146</v>
      </c>
      <c r="E4" s="165" t="s">
        <v>147</v>
      </c>
      <c r="F4" s="166" t="s">
        <v>148</v>
      </c>
      <c r="G4" s="167" t="s">
        <v>149</v>
      </c>
      <c r="H4" s="168"/>
      <c r="I4" s="169" t="s">
        <v>150</v>
      </c>
      <c r="J4" s="170" t="s">
        <v>151</v>
      </c>
      <c r="K4" s="171" t="s">
        <v>152</v>
      </c>
      <c r="L4" s="172" t="s">
        <v>153</v>
      </c>
    </row>
    <row r="5" spans="1:12" x14ac:dyDescent="0.35">
      <c r="B5" s="173" t="s">
        <v>154</v>
      </c>
      <c r="C5" s="152" t="s">
        <v>155</v>
      </c>
      <c r="D5" s="174">
        <v>8000</v>
      </c>
      <c r="E5" s="175">
        <f>D5*10000/$F$3</f>
        <v>160000000</v>
      </c>
      <c r="F5" s="176">
        <f>E5/100</f>
        <v>1600000</v>
      </c>
      <c r="G5" s="177" t="s">
        <v>156</v>
      </c>
      <c r="H5" s="178">
        <f>J5*$H$3/100</f>
        <v>0.8</v>
      </c>
      <c r="I5" s="179">
        <v>1000000000</v>
      </c>
      <c r="J5" s="180">
        <f>E5/I5</f>
        <v>0.16</v>
      </c>
      <c r="K5" s="181">
        <v>700</v>
      </c>
      <c r="L5" s="182">
        <f t="shared" ref="L5:L21" si="0">J5*K5%</f>
        <v>1.1200000000000001</v>
      </c>
    </row>
    <row r="6" spans="1:12" ht="15" thickBot="1" x14ac:dyDescent="0.4">
      <c r="B6" s="173" t="s">
        <v>157</v>
      </c>
      <c r="C6" s="152" t="s">
        <v>155</v>
      </c>
      <c r="D6" s="153">
        <v>1500</v>
      </c>
      <c r="E6" s="183">
        <f>D6*10000/$F$3</f>
        <v>30000000</v>
      </c>
      <c r="F6" s="176">
        <f t="shared" ref="F6" si="1">E6/100</f>
        <v>300000</v>
      </c>
      <c r="G6" s="177" t="s">
        <v>158</v>
      </c>
      <c r="H6" s="178">
        <f>J6*$H$3/100</f>
        <v>0.3</v>
      </c>
      <c r="I6" s="179">
        <v>500000000</v>
      </c>
      <c r="J6" s="180">
        <f>E6/I6</f>
        <v>0.06</v>
      </c>
      <c r="K6" s="181">
        <v>700</v>
      </c>
      <c r="L6" s="184">
        <f t="shared" si="0"/>
        <v>0.42</v>
      </c>
    </row>
    <row r="7" spans="1:12" ht="15" thickTop="1" x14ac:dyDescent="0.35">
      <c r="B7" s="173" t="s">
        <v>159</v>
      </c>
      <c r="C7" s="152" t="s">
        <v>160</v>
      </c>
      <c r="D7" s="153">
        <v>100</v>
      </c>
      <c r="E7" s="185">
        <f t="shared" ref="E7:E19" si="2">D7/100/$F$3</f>
        <v>2</v>
      </c>
      <c r="F7" s="176">
        <f>E7*10000</f>
        <v>20000</v>
      </c>
      <c r="G7" s="177" t="s">
        <v>161</v>
      </c>
      <c r="H7" s="178">
        <f t="shared" ref="H7:H21" si="3">J7*$H$3/100</f>
        <v>20</v>
      </c>
      <c r="I7" s="156">
        <v>50</v>
      </c>
      <c r="J7" s="180">
        <f>E7/I7%</f>
        <v>4</v>
      </c>
      <c r="K7" s="181">
        <v>700</v>
      </c>
      <c r="L7" s="182">
        <f t="shared" si="0"/>
        <v>28</v>
      </c>
    </row>
    <row r="8" spans="1:12" x14ac:dyDescent="0.35">
      <c r="B8" s="173" t="s">
        <v>162</v>
      </c>
      <c r="C8" s="152" t="s">
        <v>160</v>
      </c>
      <c r="D8" s="153">
        <v>5</v>
      </c>
      <c r="E8" s="185">
        <f t="shared" si="2"/>
        <v>0.1</v>
      </c>
      <c r="F8" s="176">
        <f t="shared" ref="F8:F19" si="4">E8*10000</f>
        <v>1000</v>
      </c>
      <c r="G8" s="177" t="s">
        <v>163</v>
      </c>
      <c r="H8" s="178">
        <f t="shared" si="3"/>
        <v>1.1389521640091116</v>
      </c>
      <c r="I8" s="156">
        <v>43.9</v>
      </c>
      <c r="J8" s="180">
        <f>E8/I8%</f>
        <v>0.22779043280182235</v>
      </c>
      <c r="K8" s="181">
        <v>700</v>
      </c>
      <c r="L8" s="182">
        <f t="shared" si="0"/>
        <v>1.5945330296127564</v>
      </c>
    </row>
    <row r="9" spans="1:12" x14ac:dyDescent="0.35">
      <c r="B9" s="173" t="s">
        <v>164</v>
      </c>
      <c r="C9" s="152" t="s">
        <v>160</v>
      </c>
      <c r="D9" s="153">
        <v>10</v>
      </c>
      <c r="E9" s="186">
        <f t="shared" si="2"/>
        <v>0.2</v>
      </c>
      <c r="F9" s="176">
        <f t="shared" si="4"/>
        <v>2000</v>
      </c>
      <c r="G9" s="177" t="s">
        <v>165</v>
      </c>
      <c r="H9" s="178">
        <f t="shared" si="3"/>
        <v>1.0869565217391304</v>
      </c>
      <c r="I9" s="156">
        <v>92</v>
      </c>
      <c r="J9" s="180">
        <f>E9/I9%</f>
        <v>0.21739130434782608</v>
      </c>
      <c r="K9" s="181">
        <v>700</v>
      </c>
      <c r="L9" s="184">
        <f t="shared" si="0"/>
        <v>1.5217391304347825</v>
      </c>
    </row>
    <row r="10" spans="1:12" x14ac:dyDescent="0.35">
      <c r="B10" s="173" t="s">
        <v>166</v>
      </c>
      <c r="C10" s="152" t="s">
        <v>160</v>
      </c>
      <c r="D10" s="153">
        <v>15</v>
      </c>
      <c r="E10" s="187">
        <f t="shared" si="2"/>
        <v>0.3</v>
      </c>
      <c r="F10" s="176">
        <f t="shared" si="4"/>
        <v>3000</v>
      </c>
      <c r="G10" s="177" t="s">
        <v>167</v>
      </c>
      <c r="H10" s="178">
        <f t="shared" si="3"/>
        <v>1.8749999999999998</v>
      </c>
      <c r="I10" s="156">
        <v>80</v>
      </c>
      <c r="J10" s="180">
        <f t="shared" ref="J10:J19" si="5">E10/I10%</f>
        <v>0.37499999999999994</v>
      </c>
      <c r="K10" s="181">
        <v>700</v>
      </c>
      <c r="L10" s="182">
        <f t="shared" si="0"/>
        <v>2.6249999999999996</v>
      </c>
    </row>
    <row r="11" spans="1:12" x14ac:dyDescent="0.35">
      <c r="B11" s="173" t="s">
        <v>168</v>
      </c>
      <c r="C11" s="152" t="s">
        <v>160</v>
      </c>
      <c r="D11" s="153">
        <v>80</v>
      </c>
      <c r="E11" s="187">
        <f t="shared" si="2"/>
        <v>1.6</v>
      </c>
      <c r="F11" s="176">
        <f t="shared" si="4"/>
        <v>16000</v>
      </c>
      <c r="G11" s="177" t="s">
        <v>169</v>
      </c>
      <c r="H11" s="178">
        <f t="shared" si="3"/>
        <v>8.0402010050251267</v>
      </c>
      <c r="I11" s="156">
        <v>99.5</v>
      </c>
      <c r="J11" s="180">
        <f t="shared" si="5"/>
        <v>1.6080402010050252</v>
      </c>
      <c r="K11" s="181">
        <v>700</v>
      </c>
      <c r="L11" s="182">
        <f t="shared" si="0"/>
        <v>11.256281407035177</v>
      </c>
    </row>
    <row r="12" spans="1:12" x14ac:dyDescent="0.35">
      <c r="B12" s="173" t="s">
        <v>170</v>
      </c>
      <c r="C12" s="152" t="s">
        <v>160</v>
      </c>
      <c r="D12" s="153">
        <v>40</v>
      </c>
      <c r="E12" s="187">
        <f t="shared" si="2"/>
        <v>0.8</v>
      </c>
      <c r="F12" s="176">
        <f t="shared" si="4"/>
        <v>8000</v>
      </c>
      <c r="G12" s="177" t="s">
        <v>171</v>
      </c>
      <c r="H12" s="178">
        <f t="shared" si="3"/>
        <v>4.3478260869565215</v>
      </c>
      <c r="I12" s="156">
        <v>92</v>
      </c>
      <c r="J12" s="180">
        <f t="shared" si="5"/>
        <v>0.86956521739130432</v>
      </c>
      <c r="K12" s="181">
        <v>700</v>
      </c>
      <c r="L12" s="182">
        <f t="shared" si="0"/>
        <v>6.0869565217391299</v>
      </c>
    </row>
    <row r="13" spans="1:12" x14ac:dyDescent="0.35">
      <c r="B13" s="173" t="s">
        <v>172</v>
      </c>
      <c r="C13" s="152" t="s">
        <v>160</v>
      </c>
      <c r="D13" s="153">
        <v>15</v>
      </c>
      <c r="E13" s="185">
        <f t="shared" si="2"/>
        <v>0.3</v>
      </c>
      <c r="F13" s="176">
        <f t="shared" si="4"/>
        <v>3000</v>
      </c>
      <c r="G13" s="177" t="s">
        <v>173</v>
      </c>
      <c r="H13" s="178">
        <f t="shared" si="3"/>
        <v>1.8292682926829269</v>
      </c>
      <c r="I13" s="156">
        <v>82</v>
      </c>
      <c r="J13" s="180">
        <f t="shared" si="5"/>
        <v>0.36585365853658536</v>
      </c>
      <c r="K13" s="181">
        <v>700</v>
      </c>
      <c r="L13" s="184">
        <f t="shared" si="0"/>
        <v>2.5609756097560976</v>
      </c>
    </row>
    <row r="14" spans="1:12" x14ac:dyDescent="0.35">
      <c r="B14" s="173" t="s">
        <v>174</v>
      </c>
      <c r="C14" s="152" t="s">
        <v>160</v>
      </c>
      <c r="D14" s="153">
        <v>0.5</v>
      </c>
      <c r="E14" s="185">
        <f t="shared" si="2"/>
        <v>0.01</v>
      </c>
      <c r="F14" s="176">
        <f t="shared" si="4"/>
        <v>100</v>
      </c>
      <c r="G14" s="177" t="s">
        <v>175</v>
      </c>
      <c r="H14" s="178">
        <f t="shared" si="3"/>
        <v>2.5</v>
      </c>
      <c r="I14" s="156">
        <v>2</v>
      </c>
      <c r="J14" s="188">
        <f t="shared" si="5"/>
        <v>0.5</v>
      </c>
      <c r="K14" s="181">
        <v>700</v>
      </c>
      <c r="L14" s="182">
        <f t="shared" si="0"/>
        <v>3.5</v>
      </c>
    </row>
    <row r="15" spans="1:12" x14ac:dyDescent="0.35">
      <c r="B15" s="173" t="s">
        <v>176</v>
      </c>
      <c r="C15" s="152" t="s">
        <v>160</v>
      </c>
      <c r="D15" s="153">
        <v>4</v>
      </c>
      <c r="E15" s="185">
        <f t="shared" si="2"/>
        <v>0.08</v>
      </c>
      <c r="F15" s="176">
        <f t="shared" si="4"/>
        <v>800</v>
      </c>
      <c r="G15" s="177" t="s">
        <v>177</v>
      </c>
      <c r="H15" s="178">
        <f t="shared" si="3"/>
        <v>0.49999999999999994</v>
      </c>
      <c r="I15" s="156">
        <v>80</v>
      </c>
      <c r="J15" s="180">
        <f t="shared" si="5"/>
        <v>9.9999999999999992E-2</v>
      </c>
      <c r="K15" s="181">
        <v>700</v>
      </c>
      <c r="L15" s="184">
        <f t="shared" si="0"/>
        <v>0.7</v>
      </c>
    </row>
    <row r="16" spans="1:12" x14ac:dyDescent="0.35">
      <c r="B16" s="173" t="s">
        <v>178</v>
      </c>
      <c r="C16" s="152" t="s">
        <v>160</v>
      </c>
      <c r="D16" s="153">
        <v>0.02</v>
      </c>
      <c r="E16" s="185">
        <f t="shared" si="2"/>
        <v>4.0000000000000002E-4</v>
      </c>
      <c r="F16" s="222">
        <f t="shared" si="4"/>
        <v>4</v>
      </c>
      <c r="G16" s="177" t="s">
        <v>179</v>
      </c>
      <c r="H16" s="178">
        <f t="shared" si="3"/>
        <v>0.2</v>
      </c>
      <c r="I16" s="156">
        <v>1</v>
      </c>
      <c r="J16" s="180">
        <f t="shared" si="5"/>
        <v>0.04</v>
      </c>
      <c r="K16" s="181">
        <v>700</v>
      </c>
      <c r="L16" s="182">
        <f t="shared" si="0"/>
        <v>0.28000000000000003</v>
      </c>
    </row>
    <row r="17" spans="2:12" x14ac:dyDescent="0.35">
      <c r="B17" s="173" t="s">
        <v>180</v>
      </c>
      <c r="C17" s="152" t="s">
        <v>160</v>
      </c>
      <c r="D17" s="153">
        <v>150</v>
      </c>
      <c r="E17" s="185">
        <f>D17/100/$F$3</f>
        <v>3</v>
      </c>
      <c r="F17" s="176">
        <f>E17*10000</f>
        <v>30000</v>
      </c>
      <c r="G17" s="177" t="s">
        <v>181</v>
      </c>
      <c r="H17" s="178">
        <f>J17*$H$3/100</f>
        <v>42.857142857142854</v>
      </c>
      <c r="I17" s="156">
        <v>35</v>
      </c>
      <c r="J17" s="180">
        <f t="shared" si="5"/>
        <v>8.5714285714285712</v>
      </c>
      <c r="K17" s="181">
        <v>700</v>
      </c>
      <c r="L17" s="182">
        <f t="shared" si="0"/>
        <v>60</v>
      </c>
    </row>
    <row r="18" spans="2:12" x14ac:dyDescent="0.35">
      <c r="B18" s="173" t="s">
        <v>182</v>
      </c>
      <c r="C18" s="152" t="s">
        <v>160</v>
      </c>
      <c r="D18" s="153">
        <v>1</v>
      </c>
      <c r="E18" s="185">
        <f t="shared" si="2"/>
        <v>0.02</v>
      </c>
      <c r="F18" s="176">
        <f t="shared" si="4"/>
        <v>200</v>
      </c>
      <c r="G18" s="177" t="s">
        <v>182</v>
      </c>
      <c r="H18" s="178">
        <f t="shared" si="3"/>
        <v>0.1</v>
      </c>
      <c r="I18" s="156">
        <v>100</v>
      </c>
      <c r="J18" s="180">
        <f t="shared" si="5"/>
        <v>0.02</v>
      </c>
      <c r="K18" s="181">
        <v>700</v>
      </c>
      <c r="L18" s="184">
        <f t="shared" si="0"/>
        <v>0.14000000000000001</v>
      </c>
    </row>
    <row r="19" spans="2:12" x14ac:dyDescent="0.35">
      <c r="B19" s="173" t="s">
        <v>183</v>
      </c>
      <c r="C19" s="152" t="s">
        <v>160</v>
      </c>
      <c r="D19" s="153">
        <v>250</v>
      </c>
      <c r="E19" s="185">
        <f t="shared" si="2"/>
        <v>5</v>
      </c>
      <c r="F19" s="176">
        <f t="shared" si="4"/>
        <v>50000</v>
      </c>
      <c r="G19" s="177" t="s">
        <v>34</v>
      </c>
      <c r="H19" s="178">
        <f t="shared" si="3"/>
        <v>55.555555555555557</v>
      </c>
      <c r="I19" s="156">
        <v>45</v>
      </c>
      <c r="J19" s="180">
        <f t="shared" si="5"/>
        <v>11.111111111111111</v>
      </c>
      <c r="K19" s="181">
        <v>700</v>
      </c>
      <c r="L19" s="182">
        <f t="shared" si="0"/>
        <v>77.777777777777771</v>
      </c>
    </row>
    <row r="20" spans="2:12" x14ac:dyDescent="0.35">
      <c r="B20" s="173"/>
      <c r="E20" s="185"/>
      <c r="G20" s="177" t="s">
        <v>25</v>
      </c>
      <c r="H20" s="178">
        <f t="shared" si="3"/>
        <v>175</v>
      </c>
      <c r="J20" s="180">
        <v>35</v>
      </c>
      <c r="K20" s="181">
        <v>350</v>
      </c>
      <c r="L20" s="182">
        <f t="shared" si="0"/>
        <v>122.5</v>
      </c>
    </row>
    <row r="21" spans="2:12" x14ac:dyDescent="0.35">
      <c r="B21" s="189"/>
      <c r="C21" s="190"/>
      <c r="D21" s="191"/>
      <c r="E21" s="192"/>
      <c r="F21" s="193"/>
      <c r="G21" s="194" t="s">
        <v>130</v>
      </c>
      <c r="H21" s="195">
        <f t="shared" si="3"/>
        <v>183.86909751688876</v>
      </c>
      <c r="I21" s="196"/>
      <c r="J21" s="197">
        <f>100-SUM(J5:J20)</f>
        <v>36.773819503377752</v>
      </c>
      <c r="K21" s="198">
        <v>1200</v>
      </c>
      <c r="L21" s="199">
        <f t="shared" si="0"/>
        <v>441.28583404053302</v>
      </c>
    </row>
    <row r="22" spans="2:12" ht="15" thickBot="1" x14ac:dyDescent="0.4">
      <c r="B22" s="200"/>
      <c r="C22" s="201"/>
      <c r="D22" s="202"/>
      <c r="E22" s="201"/>
      <c r="F22" s="203"/>
      <c r="G22" s="204"/>
      <c r="H22" s="205">
        <f>SUM(H5:H21)</f>
        <v>500</v>
      </c>
      <c r="I22" s="206"/>
      <c r="J22" s="207">
        <f>SUM(J5:J21)</f>
        <v>100</v>
      </c>
      <c r="K22" s="208"/>
      <c r="L22" s="209">
        <f>SUM(L5:L21)</f>
        <v>761.36909751688881</v>
      </c>
    </row>
    <row r="24" spans="2:12" ht="15" thickBot="1" x14ac:dyDescent="0.4"/>
    <row r="25" spans="2:12" x14ac:dyDescent="0.35">
      <c r="C25"/>
      <c r="F25" s="158" t="s">
        <v>145</v>
      </c>
      <c r="H25" s="159" t="s">
        <v>83</v>
      </c>
      <c r="K25" s="181"/>
      <c r="L25" s="181"/>
    </row>
    <row r="26" spans="2:12" ht="15" thickBot="1" x14ac:dyDescent="0.4">
      <c r="C26"/>
      <c r="F26" s="160">
        <v>0.5</v>
      </c>
      <c r="H26" s="161">
        <v>500</v>
      </c>
      <c r="K26" s="181"/>
      <c r="L26" s="181"/>
    </row>
    <row r="27" spans="2:12" x14ac:dyDescent="0.35">
      <c r="B27" s="162"/>
      <c r="C27" s="210"/>
      <c r="D27" s="164" t="s">
        <v>184</v>
      </c>
      <c r="E27" s="170" t="s">
        <v>151</v>
      </c>
      <c r="F27" s="166" t="s">
        <v>185</v>
      </c>
      <c r="G27" s="167" t="s">
        <v>149</v>
      </c>
      <c r="H27" s="168" t="s">
        <v>83</v>
      </c>
      <c r="I27" s="169" t="s">
        <v>186</v>
      </c>
      <c r="J27" s="170" t="s">
        <v>151</v>
      </c>
      <c r="K27" s="211" t="s">
        <v>152</v>
      </c>
      <c r="L27" s="172" t="s">
        <v>153</v>
      </c>
    </row>
    <row r="28" spans="2:12" x14ac:dyDescent="0.35">
      <c r="B28" s="173" t="s">
        <v>187</v>
      </c>
      <c r="C28" t="s">
        <v>160</v>
      </c>
      <c r="D28" s="153">
        <v>25</v>
      </c>
      <c r="E28" s="212">
        <f t="shared" ref="E28:E34" si="6">D28/100/$F$26</f>
        <v>0.5</v>
      </c>
      <c r="F28" s="176">
        <f>E28*10000</f>
        <v>5000</v>
      </c>
      <c r="G28" s="177" t="s">
        <v>188</v>
      </c>
      <c r="H28" s="178">
        <f t="shared" ref="H28:H36" si="7">J28*$H$26/100</f>
        <v>7.3529411764705879</v>
      </c>
      <c r="I28" s="156">
        <v>34</v>
      </c>
      <c r="J28" s="212">
        <f t="shared" ref="J28:J34" si="8">E28/I28%</f>
        <v>1.4705882352941175</v>
      </c>
      <c r="K28" s="213">
        <v>1000</v>
      </c>
      <c r="L28" s="182">
        <f>J28*K28%</f>
        <v>14.705882352941176</v>
      </c>
    </row>
    <row r="29" spans="2:12" x14ac:dyDescent="0.35">
      <c r="B29" s="173" t="s">
        <v>189</v>
      </c>
      <c r="C29" t="s">
        <v>160</v>
      </c>
      <c r="D29" s="153">
        <v>12</v>
      </c>
      <c r="E29" s="188">
        <f t="shared" si="6"/>
        <v>0.24</v>
      </c>
      <c r="F29" s="176">
        <f t="shared" ref="F29:F34" si="9">E29*10000</f>
        <v>2400</v>
      </c>
      <c r="G29" s="177" t="s">
        <v>190</v>
      </c>
      <c r="H29" s="178">
        <f t="shared" si="7"/>
        <v>3.75</v>
      </c>
      <c r="I29" s="156">
        <v>32</v>
      </c>
      <c r="J29" s="212">
        <f>E29/I29%</f>
        <v>0.75</v>
      </c>
      <c r="K29" s="213">
        <v>1000</v>
      </c>
      <c r="L29" s="182">
        <f t="shared" ref="L29:L36" si="10">J29*K29%</f>
        <v>7.5</v>
      </c>
    </row>
    <row r="30" spans="2:12" x14ac:dyDescent="0.35">
      <c r="B30" s="173" t="s">
        <v>191</v>
      </c>
      <c r="C30" t="s">
        <v>160</v>
      </c>
      <c r="D30" s="153">
        <v>3</v>
      </c>
      <c r="E30" s="188">
        <f t="shared" si="6"/>
        <v>0.06</v>
      </c>
      <c r="F30" s="176">
        <f t="shared" si="9"/>
        <v>600</v>
      </c>
      <c r="G30" s="177" t="s">
        <v>192</v>
      </c>
      <c r="H30" s="178">
        <f t="shared" si="7"/>
        <v>1.25</v>
      </c>
      <c r="I30" s="156">
        <v>24</v>
      </c>
      <c r="J30" s="212">
        <f t="shared" si="8"/>
        <v>0.25</v>
      </c>
      <c r="K30" s="213">
        <v>1000</v>
      </c>
      <c r="L30" s="182">
        <f t="shared" si="10"/>
        <v>2.5</v>
      </c>
    </row>
    <row r="31" spans="2:12" x14ac:dyDescent="0.35">
      <c r="B31" s="173" t="s">
        <v>193</v>
      </c>
      <c r="C31" t="s">
        <v>160</v>
      </c>
      <c r="D31" s="153">
        <v>0</v>
      </c>
      <c r="E31" s="188">
        <f t="shared" si="6"/>
        <v>0</v>
      </c>
      <c r="F31" s="176">
        <f t="shared" si="9"/>
        <v>0</v>
      </c>
      <c r="G31" s="177" t="s">
        <v>194</v>
      </c>
      <c r="H31" s="178">
        <f t="shared" si="7"/>
        <v>0</v>
      </c>
      <c r="I31" s="156">
        <v>28</v>
      </c>
      <c r="J31" s="212">
        <f t="shared" si="8"/>
        <v>0</v>
      </c>
      <c r="K31" s="213">
        <v>1000</v>
      </c>
      <c r="L31" s="182">
        <f t="shared" si="10"/>
        <v>0</v>
      </c>
    </row>
    <row r="32" spans="2:12" x14ac:dyDescent="0.35">
      <c r="B32" s="173" t="s">
        <v>195</v>
      </c>
      <c r="C32" t="s">
        <v>160</v>
      </c>
      <c r="D32" s="153">
        <v>0.2</v>
      </c>
      <c r="E32" s="188">
        <f t="shared" si="6"/>
        <v>4.0000000000000001E-3</v>
      </c>
      <c r="F32" s="176">
        <f t="shared" si="9"/>
        <v>40</v>
      </c>
      <c r="G32" s="177" t="s">
        <v>196</v>
      </c>
      <c r="H32" s="178">
        <f t="shared" si="7"/>
        <v>2</v>
      </c>
      <c r="I32" s="156">
        <v>1</v>
      </c>
      <c r="J32" s="212">
        <f t="shared" si="8"/>
        <v>0.4</v>
      </c>
      <c r="K32" s="213">
        <v>1000</v>
      </c>
      <c r="L32" s="182">
        <f t="shared" si="10"/>
        <v>4</v>
      </c>
    </row>
    <row r="33" spans="2:12" x14ac:dyDescent="0.35">
      <c r="B33" s="173" t="s">
        <v>197</v>
      </c>
      <c r="C33" t="s">
        <v>160</v>
      </c>
      <c r="D33" s="153">
        <v>1</v>
      </c>
      <c r="E33" s="188">
        <f t="shared" si="6"/>
        <v>0.02</v>
      </c>
      <c r="F33" s="176">
        <f t="shared" si="9"/>
        <v>200</v>
      </c>
      <c r="G33" s="177" t="s">
        <v>198</v>
      </c>
      <c r="H33" s="178">
        <f t="shared" si="7"/>
        <v>0.16666666666666669</v>
      </c>
      <c r="I33" s="156">
        <v>60</v>
      </c>
      <c r="J33" s="212">
        <f t="shared" si="8"/>
        <v>3.3333333333333333E-2</v>
      </c>
      <c r="K33" s="213">
        <v>1000</v>
      </c>
      <c r="L33" s="182">
        <f t="shared" si="10"/>
        <v>0.33333333333333331</v>
      </c>
    </row>
    <row r="34" spans="2:12" x14ac:dyDescent="0.35">
      <c r="B34" s="173" t="s">
        <v>183</v>
      </c>
      <c r="C34" t="s">
        <v>160</v>
      </c>
      <c r="D34" s="153">
        <v>250</v>
      </c>
      <c r="E34" s="188">
        <f t="shared" si="6"/>
        <v>5</v>
      </c>
      <c r="F34" s="176">
        <f t="shared" si="9"/>
        <v>50000</v>
      </c>
      <c r="G34" s="177" t="s">
        <v>34</v>
      </c>
      <c r="H34" s="178">
        <f t="shared" si="7"/>
        <v>55.555555555555557</v>
      </c>
      <c r="I34" s="156">
        <v>45</v>
      </c>
      <c r="J34" s="212">
        <f t="shared" si="8"/>
        <v>11.111111111111111</v>
      </c>
      <c r="K34" s="213">
        <v>700</v>
      </c>
      <c r="L34" s="182">
        <f t="shared" si="10"/>
        <v>77.777777777777771</v>
      </c>
    </row>
    <row r="35" spans="2:12" x14ac:dyDescent="0.35">
      <c r="B35" s="173"/>
      <c r="C35"/>
      <c r="E35" s="188"/>
      <c r="G35" s="177" t="s">
        <v>25</v>
      </c>
      <c r="H35" s="178">
        <f t="shared" si="7"/>
        <v>200</v>
      </c>
      <c r="J35" s="212">
        <v>40</v>
      </c>
      <c r="K35" s="213">
        <v>350</v>
      </c>
      <c r="L35" s="182">
        <f t="shared" si="10"/>
        <v>140</v>
      </c>
    </row>
    <row r="36" spans="2:12" x14ac:dyDescent="0.35">
      <c r="B36" s="189"/>
      <c r="C36" s="214"/>
      <c r="D36" s="191"/>
      <c r="E36" s="215"/>
      <c r="F36" s="190"/>
      <c r="G36" s="194" t="s">
        <v>130</v>
      </c>
      <c r="H36" s="195">
        <f t="shared" si="7"/>
        <v>229.92483660130722</v>
      </c>
      <c r="I36" s="196"/>
      <c r="J36" s="216">
        <f>100-SUM(J28:J35)</f>
        <v>45.98496732026144</v>
      </c>
      <c r="K36" s="217">
        <v>1200</v>
      </c>
      <c r="L36" s="199">
        <f t="shared" si="10"/>
        <v>551.81960784313731</v>
      </c>
    </row>
    <row r="37" spans="2:12" ht="15" thickBot="1" x14ac:dyDescent="0.4">
      <c r="B37" s="200"/>
      <c r="C37" s="218"/>
      <c r="D37" s="202"/>
      <c r="E37" s="219"/>
      <c r="F37" s="201"/>
      <c r="G37" s="204"/>
      <c r="H37" s="220">
        <f>SUM(H28:H36)</f>
        <v>500</v>
      </c>
      <c r="I37" s="206"/>
      <c r="J37" s="207">
        <f>SUM(J28:J36)</f>
        <v>100</v>
      </c>
      <c r="K37" s="221"/>
      <c r="L37" s="209">
        <f>SUM(L28:L36)</f>
        <v>798.63660130718961</v>
      </c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6214D-E4C8-48BB-B174-EF97EECE917E}">
  <dimension ref="A1:EX91"/>
  <sheetViews>
    <sheetView rightToLeft="1" tabSelected="1" topLeftCell="F1" zoomScale="70" zoomScaleNormal="70" workbookViewId="0">
      <selection activeCell="F2" sqref="F2"/>
    </sheetView>
  </sheetViews>
  <sheetFormatPr defaultRowHeight="15" x14ac:dyDescent="0.3"/>
  <cols>
    <col min="1" max="1" width="8.08984375" style="2" customWidth="1"/>
    <col min="2" max="2" width="12.26953125" style="23" bestFit="1" customWidth="1"/>
    <col min="3" max="3" width="11.54296875" style="23" bestFit="1" customWidth="1"/>
    <col min="4" max="4" width="27.26953125" style="81" bestFit="1" customWidth="1"/>
    <col min="5" max="5" width="14.6328125" style="82" hidden="1" customWidth="1"/>
    <col min="6" max="6" width="15.26953125" style="3" customWidth="1"/>
    <col min="7" max="7" width="3.1796875" style="3" customWidth="1"/>
    <col min="8" max="8" width="10.81640625" style="3" customWidth="1"/>
    <col min="9" max="9" width="11.26953125" style="3" customWidth="1"/>
    <col min="10" max="10" width="6.08984375" style="244" hidden="1" customWidth="1"/>
    <col min="11" max="11" width="5" style="245" hidden="1" customWidth="1"/>
    <col min="12" max="12" width="7.6328125" style="2" customWidth="1"/>
    <col min="13" max="13" width="20.7265625" style="81" bestFit="1" customWidth="1"/>
    <col min="14" max="14" width="7.81640625" style="4" customWidth="1"/>
    <col min="15" max="15" width="11.36328125" style="4" customWidth="1"/>
    <col min="16" max="16" width="11.54296875" style="97" customWidth="1"/>
    <col min="17" max="17" width="4.54296875" style="237" hidden="1" customWidth="1"/>
    <col min="18" max="18" width="7" style="237" hidden="1" customWidth="1"/>
    <col min="19" max="19" width="3.1796875" style="4" customWidth="1"/>
    <col min="20" max="21" width="11.81640625" style="5" customWidth="1"/>
    <col min="22" max="22" width="4" style="5" bestFit="1" customWidth="1"/>
    <col min="23" max="23" width="10.54296875" style="5" bestFit="1" customWidth="1"/>
    <col min="24" max="24" width="3.453125" style="5" bestFit="1" customWidth="1"/>
    <col min="25" max="25" width="10.54296875" style="5" bestFit="1" customWidth="1"/>
    <col min="26" max="26" width="3.453125" style="5" bestFit="1" customWidth="1"/>
    <col min="27" max="27" width="11.7265625" style="5" bestFit="1" customWidth="1"/>
    <col min="28" max="28" width="3.453125" style="5" bestFit="1" customWidth="1"/>
    <col min="29" max="29" width="12.90625" style="5" bestFit="1" customWidth="1"/>
    <col min="30" max="30" width="3.453125" style="5" bestFit="1" customWidth="1"/>
    <col min="31" max="31" width="12.90625" style="5" bestFit="1" customWidth="1"/>
    <col min="32" max="32" width="4" style="5" bestFit="1" customWidth="1"/>
    <col min="33" max="33" width="7.08984375" style="2" customWidth="1"/>
    <col min="34" max="34" width="23.81640625" style="58" bestFit="1" customWidth="1"/>
    <col min="35" max="35" width="11.1796875" style="8" bestFit="1" customWidth="1"/>
    <col min="36" max="36" width="3.7265625" style="5" hidden="1" customWidth="1"/>
    <col min="37" max="37" width="7.54296875" style="8" bestFit="1" customWidth="1"/>
    <col min="38" max="38" width="4" style="5" hidden="1" customWidth="1"/>
    <col min="39" max="39" width="6.36328125" style="8" bestFit="1" customWidth="1"/>
    <col min="40" max="40" width="5.1796875" style="5" hidden="1" customWidth="1"/>
    <col min="41" max="41" width="13.81640625" style="8" bestFit="1" customWidth="1"/>
    <col min="42" max="42" width="10.81640625" style="5" hidden="1" customWidth="1"/>
    <col min="43" max="43" width="10" style="8" bestFit="1" customWidth="1"/>
    <col min="44" max="44" width="5.1796875" style="5" hidden="1" customWidth="1"/>
    <col min="45" max="45" width="6.36328125" style="8" bestFit="1" customWidth="1"/>
    <col min="46" max="46" width="5.1796875" style="15" hidden="1" customWidth="1"/>
    <col min="47" max="47" width="7.26953125" style="8" bestFit="1" customWidth="1"/>
    <col min="48" max="48" width="5.1796875" style="15" hidden="1" customWidth="1"/>
    <col min="49" max="49" width="7" style="8" bestFit="1" customWidth="1"/>
    <col min="50" max="50" width="6.36328125" style="15" hidden="1" customWidth="1"/>
    <col min="51" max="51" width="7.453125" style="8" bestFit="1" customWidth="1"/>
    <col min="52" max="52" width="6.36328125" style="15" hidden="1" customWidth="1"/>
    <col min="53" max="53" width="9.26953125" style="8" customWidth="1"/>
    <col min="54" max="54" width="6.36328125" style="15" hidden="1" customWidth="1"/>
    <col min="55" max="55" width="7.1796875" style="8" bestFit="1" customWidth="1"/>
    <col min="56" max="56" width="7.1796875" style="15" hidden="1" customWidth="1"/>
    <col min="57" max="57" width="7.1796875" style="8" bestFit="1" customWidth="1"/>
    <col min="58" max="58" width="7.1796875" style="15" hidden="1" customWidth="1"/>
    <col min="59" max="59" width="7.1796875" style="8" bestFit="1" customWidth="1"/>
    <col min="60" max="60" width="6.36328125" style="15" hidden="1" customWidth="1"/>
    <col min="61" max="61" width="6.36328125" style="8" bestFit="1" customWidth="1"/>
    <col min="62" max="62" width="6.36328125" style="15" hidden="1" customWidth="1"/>
    <col min="63" max="63" width="7.54296875" style="8" bestFit="1" customWidth="1"/>
    <col min="64" max="64" width="7.54296875" style="15" hidden="1" customWidth="1"/>
    <col min="65" max="65" width="6.7265625" style="8" bestFit="1" customWidth="1"/>
    <col min="66" max="66" width="6.7265625" style="15" hidden="1" customWidth="1"/>
    <col min="67" max="67" width="7.54296875" style="8" bestFit="1" customWidth="1"/>
    <col min="68" max="68" width="7.54296875" style="15" hidden="1" customWidth="1"/>
    <col min="69" max="69" width="9.54296875" style="8" bestFit="1" customWidth="1"/>
    <col min="70" max="70" width="6.36328125" style="15" hidden="1" customWidth="1"/>
    <col min="71" max="71" width="9.1796875" style="8" bestFit="1" customWidth="1"/>
    <col min="72" max="72" width="6.453125" style="15" hidden="1" customWidth="1"/>
    <col min="73" max="73" width="6.81640625" style="9" bestFit="1" customWidth="1"/>
    <col min="74" max="74" width="6.36328125" style="19" hidden="1" customWidth="1"/>
    <col min="75" max="75" width="7.54296875" style="8" bestFit="1" customWidth="1"/>
    <col min="76" max="76" width="6.36328125" style="15" hidden="1" customWidth="1"/>
    <col min="77" max="77" width="6.36328125" style="8" bestFit="1" customWidth="1"/>
    <col min="78" max="78" width="6.36328125" style="15" hidden="1" customWidth="1"/>
    <col min="79" max="79" width="7.54296875" style="8" bestFit="1" customWidth="1"/>
    <col min="80" max="80" width="7.54296875" style="15" hidden="1" customWidth="1"/>
    <col min="81" max="81" width="6.36328125" style="8" bestFit="1" customWidth="1"/>
    <col min="82" max="82" width="6.36328125" style="15" hidden="1" customWidth="1"/>
    <col min="83" max="83" width="14.453125" style="8" bestFit="1" customWidth="1"/>
    <col min="84" max="84" width="7.54296875" style="15" hidden="1" customWidth="1"/>
    <col min="85" max="85" width="12.90625" style="8" bestFit="1" customWidth="1"/>
    <col min="86" max="86" width="7.90625" style="15" hidden="1" customWidth="1"/>
    <col min="87" max="87" width="7" style="8" bestFit="1" customWidth="1"/>
    <col min="88" max="88" width="5.1796875" style="15" customWidth="1"/>
    <col min="89" max="89" width="7" style="8" bestFit="1" customWidth="1"/>
    <col min="90" max="90" width="5.1796875" style="15" customWidth="1"/>
    <col min="91" max="91" width="10.08984375" style="8" bestFit="1" customWidth="1"/>
    <col min="92" max="92" width="7.26953125" style="15" customWidth="1"/>
    <col min="93" max="93" width="7.90625" style="8" bestFit="1" customWidth="1"/>
    <col min="94" max="94" width="5.1796875" style="15" hidden="1" customWidth="1"/>
    <col min="95" max="95" width="7.7265625" style="8" bestFit="1" customWidth="1"/>
    <col min="96" max="96" width="5.1796875" style="15" hidden="1" customWidth="1"/>
    <col min="97" max="97" width="9.54296875" style="8" bestFit="1" customWidth="1"/>
    <col min="98" max="98" width="6.7265625" style="15" hidden="1" customWidth="1"/>
    <col min="99" max="99" width="7.7265625" style="8" bestFit="1" customWidth="1"/>
    <col min="100" max="100" width="5.1796875" style="15" hidden="1" customWidth="1"/>
    <col min="101" max="101" width="7.81640625" style="8" bestFit="1" customWidth="1"/>
    <col min="102" max="102" width="8.7265625" style="16" hidden="1" customWidth="1"/>
    <col min="103" max="106" width="8.7265625" style="2"/>
    <col min="107" max="154" width="8.7265625" style="138"/>
    <col min="155" max="16384" width="8.7265625" style="2"/>
  </cols>
  <sheetData>
    <row r="1" spans="1:154" ht="27" customHeight="1" thickBot="1" x14ac:dyDescent="0.35">
      <c r="A1" s="40"/>
      <c r="B1" s="42"/>
      <c r="C1" s="42"/>
      <c r="D1" s="72"/>
      <c r="E1" s="73"/>
      <c r="F1" s="43"/>
      <c r="G1" s="43"/>
      <c r="H1" s="43"/>
      <c r="I1" s="43"/>
      <c r="J1" s="238"/>
      <c r="K1" s="239"/>
      <c r="L1" s="40"/>
      <c r="M1" s="72"/>
      <c r="N1" s="44"/>
      <c r="O1" s="44"/>
      <c r="P1" s="94"/>
      <c r="Q1" s="230"/>
      <c r="R1" s="230"/>
      <c r="S1" s="44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0"/>
      <c r="AH1" s="57"/>
      <c r="AI1" s="46"/>
      <c r="AJ1" s="41"/>
      <c r="AK1" s="46"/>
      <c r="AL1" s="41"/>
      <c r="AM1" s="46"/>
      <c r="AN1" s="41"/>
      <c r="AO1" s="46"/>
      <c r="AP1" s="41"/>
      <c r="AQ1" s="46"/>
      <c r="AR1" s="41"/>
      <c r="AS1" s="46"/>
      <c r="AT1" s="47"/>
      <c r="AU1" s="46"/>
      <c r="AV1" s="47"/>
      <c r="AW1" s="46"/>
      <c r="AX1" s="47"/>
      <c r="AY1" s="46"/>
      <c r="AZ1" s="47"/>
      <c r="BA1" s="46"/>
      <c r="BB1" s="47"/>
      <c r="BC1" s="46"/>
      <c r="BD1" s="47"/>
      <c r="BE1" s="46"/>
      <c r="BF1" s="47"/>
      <c r="BG1" s="46"/>
      <c r="BH1" s="47"/>
      <c r="BI1" s="46"/>
      <c r="BJ1" s="47"/>
      <c r="BK1" s="46"/>
      <c r="BL1" s="47"/>
      <c r="BM1" s="46"/>
      <c r="BN1" s="47"/>
      <c r="BO1" s="46"/>
      <c r="BP1" s="47"/>
      <c r="BQ1" s="46"/>
      <c r="BR1" s="47"/>
      <c r="BS1" s="46"/>
      <c r="BT1" s="47"/>
      <c r="BU1" s="46"/>
      <c r="BV1" s="47"/>
      <c r="BW1" s="46"/>
      <c r="BX1" s="47"/>
      <c r="BY1" s="46"/>
      <c r="BZ1" s="47"/>
      <c r="CA1" s="46"/>
      <c r="CB1" s="47"/>
      <c r="CC1" s="46"/>
      <c r="CD1" s="47"/>
      <c r="CE1" s="46"/>
      <c r="CF1" s="47"/>
      <c r="CG1" s="46"/>
      <c r="CH1" s="47"/>
      <c r="CI1" s="46"/>
      <c r="CJ1" s="47"/>
      <c r="CK1" s="46"/>
      <c r="CL1" s="47"/>
      <c r="CM1" s="46"/>
      <c r="CN1" s="47"/>
      <c r="CO1" s="46"/>
      <c r="CP1" s="47"/>
      <c r="CQ1" s="46"/>
      <c r="CR1" s="47"/>
      <c r="CS1" s="46"/>
      <c r="CT1" s="47"/>
      <c r="CU1" s="46"/>
      <c r="CV1" s="47"/>
      <c r="CW1" s="46"/>
      <c r="CX1" s="48"/>
      <c r="CY1" s="40"/>
      <c r="CZ1" s="40"/>
      <c r="DA1" s="40"/>
      <c r="DB1" s="40"/>
    </row>
    <row r="2" spans="1:154" s="40" customFormat="1" ht="24" customHeight="1" thickBot="1" x14ac:dyDescent="0.35">
      <c r="B2" s="92" t="s">
        <v>127</v>
      </c>
      <c r="C2" s="93">
        <f>SUM(C5:C41)</f>
        <v>39550.640166189856</v>
      </c>
      <c r="D2" s="72"/>
      <c r="E2" s="73"/>
      <c r="F2" s="43"/>
      <c r="G2" s="43"/>
      <c r="H2" s="43"/>
      <c r="I2" s="43"/>
      <c r="J2" s="238"/>
      <c r="K2" s="239"/>
      <c r="M2" s="72"/>
      <c r="N2" s="44"/>
      <c r="O2" s="44"/>
      <c r="P2" s="94"/>
      <c r="Q2" s="230"/>
      <c r="R2" s="230"/>
      <c r="S2" s="44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H2" s="57"/>
      <c r="AI2" s="46"/>
      <c r="AJ2" s="41"/>
      <c r="AK2" s="46"/>
      <c r="AL2" s="41"/>
      <c r="AM2" s="46"/>
      <c r="AN2" s="41"/>
      <c r="AO2" s="46"/>
      <c r="AP2" s="41"/>
      <c r="AQ2" s="46"/>
      <c r="AR2" s="41"/>
      <c r="AS2" s="46"/>
      <c r="AT2" s="47"/>
      <c r="AU2" s="46"/>
      <c r="AV2" s="47"/>
      <c r="AW2" s="46"/>
      <c r="AX2" s="47"/>
      <c r="AY2" s="46"/>
      <c r="AZ2" s="47"/>
      <c r="BA2" s="46"/>
      <c r="BB2" s="47"/>
      <c r="BC2" s="46"/>
      <c r="BD2" s="47"/>
      <c r="BE2" s="46"/>
      <c r="BF2" s="47"/>
      <c r="BG2" s="46"/>
      <c r="BH2" s="47"/>
      <c r="BI2" s="46"/>
      <c r="BJ2" s="47"/>
      <c r="BK2" s="46"/>
      <c r="BL2" s="47"/>
      <c r="BM2" s="46"/>
      <c r="BN2" s="47"/>
      <c r="BP2" s="42"/>
      <c r="BQ2" s="42"/>
      <c r="BR2" s="72"/>
      <c r="BS2" s="73"/>
      <c r="BT2" s="43"/>
      <c r="BU2" s="43"/>
      <c r="BV2" s="43"/>
      <c r="BW2" s="43"/>
      <c r="BX2" s="45"/>
      <c r="BZ2" s="72"/>
      <c r="CA2" s="44"/>
      <c r="CB2" s="85"/>
      <c r="CC2" s="44"/>
      <c r="CD2" s="41"/>
      <c r="CF2" s="57"/>
      <c r="CG2" s="46"/>
      <c r="CH2" s="41"/>
      <c r="CI2" s="46"/>
      <c r="CJ2" s="41"/>
      <c r="CK2" s="46"/>
      <c r="CL2" s="41"/>
      <c r="CM2" s="46"/>
      <c r="CN2" s="41"/>
      <c r="CO2" s="46"/>
      <c r="CP2" s="41"/>
      <c r="CQ2" s="46"/>
      <c r="CR2" s="47"/>
      <c r="CS2" s="46"/>
      <c r="CT2" s="47"/>
      <c r="CU2" s="46"/>
      <c r="CV2" s="47"/>
      <c r="CW2" s="46"/>
      <c r="CX2" s="47"/>
      <c r="CY2" s="46"/>
      <c r="CZ2" s="47"/>
      <c r="DA2" s="46"/>
      <c r="DB2" s="47"/>
      <c r="DC2" s="9"/>
      <c r="DD2" s="19"/>
      <c r="DE2" s="9"/>
      <c r="DF2" s="19"/>
      <c r="DG2" s="9"/>
      <c r="DH2" s="19"/>
      <c r="DI2" s="9"/>
      <c r="DJ2" s="19"/>
      <c r="DK2" s="9"/>
      <c r="DL2" s="19"/>
      <c r="DM2" s="9"/>
      <c r="DN2" s="19"/>
      <c r="DO2" s="9"/>
      <c r="DP2" s="19"/>
      <c r="DQ2" s="9"/>
      <c r="DR2" s="19"/>
      <c r="DS2" s="9"/>
      <c r="DT2" s="19"/>
      <c r="DU2" s="9"/>
      <c r="DV2" s="19"/>
      <c r="DW2" s="9"/>
      <c r="DX2" s="19"/>
      <c r="DY2" s="9"/>
      <c r="DZ2" s="19"/>
      <c r="EA2" s="9"/>
      <c r="EB2" s="19"/>
      <c r="EC2" s="9"/>
      <c r="ED2" s="19"/>
      <c r="EE2" s="9"/>
      <c r="EF2" s="19"/>
      <c r="EG2" s="9"/>
      <c r="EH2" s="19"/>
      <c r="EI2" s="9"/>
      <c r="EJ2" s="19"/>
      <c r="EK2" s="9"/>
      <c r="EL2" s="19"/>
      <c r="EM2" s="9"/>
      <c r="EN2" s="19"/>
      <c r="EO2" s="9"/>
      <c r="EP2" s="19"/>
      <c r="EQ2" s="9"/>
      <c r="ER2" s="19"/>
      <c r="ES2" s="9"/>
      <c r="ET2" s="19"/>
      <c r="EU2" s="9"/>
      <c r="EV2" s="139"/>
      <c r="EW2" s="138"/>
      <c r="EX2" s="138"/>
    </row>
    <row r="3" spans="1:154" ht="15.5" customHeight="1" x14ac:dyDescent="0.3">
      <c r="A3" s="40"/>
      <c r="B3" s="284" t="s">
        <v>80</v>
      </c>
      <c r="C3" s="282" t="s">
        <v>81</v>
      </c>
      <c r="D3" s="280" t="s">
        <v>82</v>
      </c>
      <c r="E3" s="74" t="s">
        <v>83</v>
      </c>
      <c r="F3" s="280" t="s">
        <v>84</v>
      </c>
      <c r="G3" s="74"/>
      <c r="H3" s="271" t="s">
        <v>85</v>
      </c>
      <c r="I3" s="286"/>
      <c r="J3" s="240"/>
      <c r="K3" s="241"/>
      <c r="L3" s="40"/>
      <c r="M3" s="278" t="s">
        <v>124</v>
      </c>
      <c r="N3" s="271"/>
      <c r="O3" s="277" t="s">
        <v>125</v>
      </c>
      <c r="P3" s="277"/>
      <c r="Q3" s="231"/>
      <c r="R3" s="231"/>
      <c r="S3" s="271"/>
      <c r="T3" s="273" t="s">
        <v>126</v>
      </c>
      <c r="U3" s="41"/>
      <c r="V3" s="108"/>
      <c r="W3" s="107"/>
      <c r="X3" s="246"/>
      <c r="Y3" s="107"/>
      <c r="Z3" s="246"/>
      <c r="AA3" s="107"/>
      <c r="AB3" s="246"/>
      <c r="AC3" s="107"/>
      <c r="AD3" s="246"/>
      <c r="AE3" s="107"/>
      <c r="AF3" s="107"/>
      <c r="AG3" s="110"/>
      <c r="AH3" s="275"/>
      <c r="AI3" s="259" t="s">
        <v>54</v>
      </c>
      <c r="AJ3" s="257" t="s">
        <v>88</v>
      </c>
      <c r="AK3" s="259" t="s">
        <v>55</v>
      </c>
      <c r="AL3" s="257" t="s">
        <v>89</v>
      </c>
      <c r="AM3" s="259" t="s">
        <v>56</v>
      </c>
      <c r="AN3" s="257" t="s">
        <v>90</v>
      </c>
      <c r="AO3" s="259" t="s">
        <v>57</v>
      </c>
      <c r="AP3" s="257" t="s">
        <v>99</v>
      </c>
      <c r="AQ3" s="259" t="s">
        <v>5</v>
      </c>
      <c r="AR3" s="257" t="s">
        <v>91</v>
      </c>
      <c r="AS3" s="259" t="s">
        <v>58</v>
      </c>
      <c r="AT3" s="257" t="s">
        <v>92</v>
      </c>
      <c r="AU3" s="259" t="s">
        <v>4</v>
      </c>
      <c r="AV3" s="257" t="s">
        <v>93</v>
      </c>
      <c r="AW3" s="269" t="s">
        <v>59</v>
      </c>
      <c r="AX3" s="267" t="s">
        <v>94</v>
      </c>
      <c r="AY3" s="269" t="s">
        <v>60</v>
      </c>
      <c r="AZ3" s="267" t="s">
        <v>95</v>
      </c>
      <c r="BA3" s="269" t="s">
        <v>64</v>
      </c>
      <c r="BB3" s="267" t="s">
        <v>96</v>
      </c>
      <c r="BC3" s="269" t="s">
        <v>61</v>
      </c>
      <c r="BD3" s="267" t="s">
        <v>97</v>
      </c>
      <c r="BE3" s="269" t="s">
        <v>62</v>
      </c>
      <c r="BF3" s="267" t="s">
        <v>98</v>
      </c>
      <c r="BG3" s="269" t="s">
        <v>63</v>
      </c>
      <c r="BH3" s="267" t="s">
        <v>100</v>
      </c>
      <c r="BI3" s="269" t="s">
        <v>65</v>
      </c>
      <c r="BJ3" s="267" t="s">
        <v>101</v>
      </c>
      <c r="BK3" s="269" t="s">
        <v>66</v>
      </c>
      <c r="BL3" s="267" t="s">
        <v>102</v>
      </c>
      <c r="BM3" s="269" t="s">
        <v>67</v>
      </c>
      <c r="BN3" s="267" t="s">
        <v>103</v>
      </c>
      <c r="BO3" s="259" t="s">
        <v>68</v>
      </c>
      <c r="BP3" s="257" t="s">
        <v>104</v>
      </c>
      <c r="BQ3" s="259" t="s">
        <v>69</v>
      </c>
      <c r="BR3" s="257" t="s">
        <v>105</v>
      </c>
      <c r="BS3" s="259" t="s">
        <v>70</v>
      </c>
      <c r="BT3" s="257" t="s">
        <v>106</v>
      </c>
      <c r="BU3" s="263" t="s">
        <v>71</v>
      </c>
      <c r="BV3" s="265" t="s">
        <v>107</v>
      </c>
      <c r="BW3" s="259" t="s">
        <v>72</v>
      </c>
      <c r="BX3" s="257" t="s">
        <v>108</v>
      </c>
      <c r="BY3" s="259" t="s">
        <v>73</v>
      </c>
      <c r="BZ3" s="257" t="s">
        <v>109</v>
      </c>
      <c r="CA3" s="259" t="s">
        <v>74</v>
      </c>
      <c r="CB3" s="257" t="s">
        <v>110</v>
      </c>
      <c r="CC3" s="259" t="s">
        <v>75</v>
      </c>
      <c r="CD3" s="257" t="s">
        <v>111</v>
      </c>
      <c r="CE3" s="259" t="s">
        <v>0</v>
      </c>
      <c r="CF3" s="257" t="s">
        <v>112</v>
      </c>
      <c r="CG3" s="259" t="s">
        <v>1</v>
      </c>
      <c r="CH3" s="257" t="s">
        <v>113</v>
      </c>
      <c r="CI3" s="259" t="s">
        <v>128</v>
      </c>
      <c r="CJ3" s="257" t="s">
        <v>129</v>
      </c>
      <c r="CK3" s="259" t="s">
        <v>76</v>
      </c>
      <c r="CL3" s="257" t="s">
        <v>114</v>
      </c>
      <c r="CM3" s="259" t="s">
        <v>77</v>
      </c>
      <c r="CN3" s="257" t="s">
        <v>115</v>
      </c>
      <c r="CO3" s="259" t="s">
        <v>2</v>
      </c>
      <c r="CP3" s="257" t="s">
        <v>116</v>
      </c>
      <c r="CQ3" s="259" t="s">
        <v>3</v>
      </c>
      <c r="CR3" s="257" t="s">
        <v>117</v>
      </c>
      <c r="CS3" s="259" t="s">
        <v>6</v>
      </c>
      <c r="CT3" s="257" t="s">
        <v>118</v>
      </c>
      <c r="CU3" s="259" t="s">
        <v>7</v>
      </c>
      <c r="CV3" s="257" t="s">
        <v>119</v>
      </c>
      <c r="CW3" s="261" t="s">
        <v>78</v>
      </c>
      <c r="CX3" s="255" t="s">
        <v>120</v>
      </c>
      <c r="CY3" s="40"/>
      <c r="CZ3" s="40"/>
      <c r="DA3" s="40"/>
      <c r="DB3" s="40"/>
    </row>
    <row r="4" spans="1:154" s="1" customFormat="1" ht="20.5" customHeight="1" x14ac:dyDescent="0.3">
      <c r="A4" s="34"/>
      <c r="B4" s="285"/>
      <c r="C4" s="283"/>
      <c r="D4" s="281"/>
      <c r="E4" s="75">
        <v>1000</v>
      </c>
      <c r="F4" s="281"/>
      <c r="G4" s="75"/>
      <c r="H4" s="63" t="s">
        <v>131</v>
      </c>
      <c r="I4" s="64" t="s">
        <v>132</v>
      </c>
      <c r="J4" s="232" t="s">
        <v>133</v>
      </c>
      <c r="K4" s="242" t="s">
        <v>134</v>
      </c>
      <c r="L4" s="24"/>
      <c r="M4" s="279"/>
      <c r="N4" s="272"/>
      <c r="O4" s="91" t="s">
        <v>131</v>
      </c>
      <c r="P4" s="91" t="s">
        <v>132</v>
      </c>
      <c r="Q4" s="232" t="s">
        <v>133</v>
      </c>
      <c r="R4" s="232" t="s">
        <v>134</v>
      </c>
      <c r="S4" s="272"/>
      <c r="T4" s="274"/>
      <c r="U4" s="41"/>
      <c r="V4" s="109"/>
      <c r="W4" s="103"/>
      <c r="X4" s="247"/>
      <c r="Y4" s="103"/>
      <c r="Z4" s="247"/>
      <c r="AA4" s="103"/>
      <c r="AB4" s="247"/>
      <c r="AC4" s="103"/>
      <c r="AD4" s="247"/>
      <c r="AE4" s="103"/>
      <c r="AF4" s="103"/>
      <c r="AG4" s="111"/>
      <c r="AH4" s="276"/>
      <c r="AI4" s="260"/>
      <c r="AJ4" s="258"/>
      <c r="AK4" s="260"/>
      <c r="AL4" s="258"/>
      <c r="AM4" s="260"/>
      <c r="AN4" s="258"/>
      <c r="AO4" s="260"/>
      <c r="AP4" s="258"/>
      <c r="AQ4" s="260"/>
      <c r="AR4" s="258"/>
      <c r="AS4" s="260"/>
      <c r="AT4" s="258"/>
      <c r="AU4" s="260"/>
      <c r="AV4" s="258"/>
      <c r="AW4" s="270"/>
      <c r="AX4" s="268"/>
      <c r="AY4" s="270"/>
      <c r="AZ4" s="268"/>
      <c r="BA4" s="270"/>
      <c r="BB4" s="268"/>
      <c r="BC4" s="270"/>
      <c r="BD4" s="268"/>
      <c r="BE4" s="270"/>
      <c r="BF4" s="268"/>
      <c r="BG4" s="270"/>
      <c r="BH4" s="268"/>
      <c r="BI4" s="270"/>
      <c r="BJ4" s="268"/>
      <c r="BK4" s="270"/>
      <c r="BL4" s="268"/>
      <c r="BM4" s="270"/>
      <c r="BN4" s="268"/>
      <c r="BO4" s="260"/>
      <c r="BP4" s="258"/>
      <c r="BQ4" s="260"/>
      <c r="BR4" s="258"/>
      <c r="BS4" s="260"/>
      <c r="BT4" s="258"/>
      <c r="BU4" s="264"/>
      <c r="BV4" s="266"/>
      <c r="BW4" s="260"/>
      <c r="BX4" s="258"/>
      <c r="BY4" s="260"/>
      <c r="BZ4" s="258"/>
      <c r="CA4" s="260"/>
      <c r="CB4" s="258"/>
      <c r="CC4" s="260"/>
      <c r="CD4" s="258"/>
      <c r="CE4" s="260"/>
      <c r="CF4" s="258"/>
      <c r="CG4" s="260"/>
      <c r="CH4" s="258"/>
      <c r="CI4" s="260"/>
      <c r="CJ4" s="258"/>
      <c r="CK4" s="260"/>
      <c r="CL4" s="258"/>
      <c r="CM4" s="260"/>
      <c r="CN4" s="258"/>
      <c r="CO4" s="260"/>
      <c r="CP4" s="258"/>
      <c r="CQ4" s="260"/>
      <c r="CR4" s="258"/>
      <c r="CS4" s="260"/>
      <c r="CT4" s="258"/>
      <c r="CU4" s="260"/>
      <c r="CV4" s="258"/>
      <c r="CW4" s="262"/>
      <c r="CX4" s="256"/>
      <c r="CY4" s="34"/>
      <c r="CZ4" s="34"/>
      <c r="DA4" s="34"/>
      <c r="DB4" s="34"/>
      <c r="DC4" s="140"/>
      <c r="DD4" s="140"/>
      <c r="DE4" s="140"/>
      <c r="DF4" s="140"/>
      <c r="DG4" s="140"/>
      <c r="DH4" s="140"/>
      <c r="DI4" s="140"/>
      <c r="DJ4" s="140"/>
      <c r="DK4" s="140"/>
      <c r="DL4" s="140"/>
      <c r="DM4" s="140"/>
      <c r="DN4" s="140"/>
      <c r="DO4" s="140"/>
      <c r="DP4" s="140"/>
      <c r="DQ4" s="140"/>
      <c r="DR4" s="140"/>
      <c r="DS4" s="140"/>
      <c r="DT4" s="140"/>
      <c r="DU4" s="140"/>
      <c r="DV4" s="140"/>
      <c r="DW4" s="140"/>
      <c r="DX4" s="140"/>
      <c r="DY4" s="140"/>
      <c r="DZ4" s="140"/>
      <c r="EA4" s="140"/>
      <c r="EB4" s="140"/>
      <c r="EC4" s="140"/>
      <c r="ED4" s="140"/>
      <c r="EE4" s="140"/>
      <c r="EF4" s="140"/>
      <c r="EG4" s="140"/>
      <c r="EH4" s="140"/>
      <c r="EI4" s="140"/>
      <c r="EJ4" s="140"/>
      <c r="EK4" s="140"/>
      <c r="EL4" s="140"/>
      <c r="EM4" s="140"/>
      <c r="EN4" s="140"/>
      <c r="EO4" s="140"/>
      <c r="EP4" s="140"/>
      <c r="EQ4" s="140"/>
      <c r="ER4" s="140"/>
      <c r="ES4" s="140"/>
      <c r="ET4" s="140"/>
      <c r="EU4" s="140"/>
      <c r="EV4" s="140"/>
      <c r="EW4" s="140"/>
      <c r="EX4" s="140"/>
    </row>
    <row r="5" spans="1:154" s="34" customFormat="1" x14ac:dyDescent="0.3">
      <c r="B5" s="61">
        <v>60000</v>
      </c>
      <c r="C5" s="56">
        <f t="shared" ref="C5:C41" si="0">F5*B5%</f>
        <v>0</v>
      </c>
      <c r="D5" s="76" t="s">
        <v>8</v>
      </c>
      <c r="E5" s="77">
        <f>F5*$E$4%</f>
        <v>0</v>
      </c>
      <c r="F5" s="86">
        <v>0</v>
      </c>
      <c r="G5" s="86"/>
      <c r="H5" s="98"/>
      <c r="I5" s="99"/>
      <c r="J5" s="228">
        <f>IF((H5)="",0,(H5))</f>
        <v>0</v>
      </c>
      <c r="K5" s="226">
        <f>IF((I5)="",100,(I5))</f>
        <v>100</v>
      </c>
      <c r="L5" s="24"/>
      <c r="M5" s="83" t="s">
        <v>40</v>
      </c>
      <c r="N5" s="65" t="s">
        <v>41</v>
      </c>
      <c r="O5" s="95"/>
      <c r="P5" s="95"/>
      <c r="Q5" s="233">
        <f>IF((O5)="",0,(O5))</f>
        <v>0</v>
      </c>
      <c r="R5" s="233">
        <f>IF((P5)="",10000,(P5))</f>
        <v>10000</v>
      </c>
      <c r="S5" s="65"/>
      <c r="T5" s="67">
        <f>SUM(AJ5:AJ41)</f>
        <v>3796.0656520503699</v>
      </c>
      <c r="U5" s="41"/>
      <c r="V5" s="112"/>
      <c r="W5" s="122" t="s">
        <v>135</v>
      </c>
      <c r="X5" s="248"/>
      <c r="Y5" s="122" t="s">
        <v>136</v>
      </c>
      <c r="Z5" s="248"/>
      <c r="AA5" s="122" t="s">
        <v>137</v>
      </c>
      <c r="AB5" s="248"/>
      <c r="AC5" s="122" t="s">
        <v>138</v>
      </c>
      <c r="AD5" s="248"/>
      <c r="AE5" s="122" t="s">
        <v>139</v>
      </c>
      <c r="AF5" s="115"/>
      <c r="AG5" s="24"/>
      <c r="AH5" s="59" t="s">
        <v>8</v>
      </c>
      <c r="AI5" s="31">
        <v>3600</v>
      </c>
      <c r="AJ5" s="25">
        <f t="shared" ref="AJ5:AJ36" si="1">F5*AI5%</f>
        <v>0</v>
      </c>
      <c r="AK5" s="26">
        <v>51.892000000000003</v>
      </c>
      <c r="AL5" s="27">
        <f t="shared" ref="AL5:AL36" si="2">F5*AK5%</f>
        <v>0</v>
      </c>
      <c r="AM5" s="26">
        <v>13.831</v>
      </c>
      <c r="AN5" s="28">
        <f t="shared" ref="AN5:AN41" si="3">F5*AM5%</f>
        <v>0</v>
      </c>
      <c r="AO5" s="26">
        <v>13.831</v>
      </c>
      <c r="AP5" s="29">
        <f t="shared" ref="AP5:AP41" si="4">F5*AO5%</f>
        <v>0</v>
      </c>
      <c r="AQ5" s="26">
        <v>0</v>
      </c>
      <c r="AR5" s="29">
        <f t="shared" ref="AR5:AR41" si="5">F5*AQ5%</f>
        <v>0</v>
      </c>
      <c r="AS5" s="26">
        <v>0</v>
      </c>
      <c r="AT5" s="29">
        <f t="shared" ref="AT5:AT41" si="6">F5*AS5%</f>
        <v>0</v>
      </c>
      <c r="AU5" s="26">
        <v>15.840999999999999</v>
      </c>
      <c r="AV5" s="29">
        <f t="shared" ref="AV5:AV41" si="7">F5*AU5%</f>
        <v>0</v>
      </c>
      <c r="AW5" s="26">
        <f>AK5*0.107-2.35</f>
        <v>3.2024440000000003</v>
      </c>
      <c r="AX5" s="30">
        <f t="shared" ref="AX5:AX41" si="8">F5*AW5%</f>
        <v>0</v>
      </c>
      <c r="AY5" s="26">
        <f>AK5*0.038-0.767</f>
        <v>1.2048960000000002</v>
      </c>
      <c r="AZ5" s="30">
        <f t="shared" ref="AZ5:AZ41" si="9">F5*AY5%</f>
        <v>0</v>
      </c>
      <c r="BA5" s="26">
        <f>AK5*0.049-0.935</f>
        <v>1.6077080000000001</v>
      </c>
      <c r="BB5" s="30">
        <f t="shared" ref="BB5:BB41" si="10">F5*BA5%</f>
        <v>0</v>
      </c>
      <c r="BC5" s="26">
        <f>AK5*0.049-0.643</f>
        <v>1.8997080000000002</v>
      </c>
      <c r="BD5" s="30">
        <f t="shared" ref="BD5:BD41" si="11">F5*BC5%</f>
        <v>0</v>
      </c>
      <c r="BE5" s="26">
        <f>AK5*0.016-0.374</f>
        <v>0.45627200000000001</v>
      </c>
      <c r="BF5" s="30">
        <f t="shared" ref="BF5:BF41" si="12">F5*BE5%</f>
        <v>0</v>
      </c>
      <c r="BG5" s="26">
        <f>AK5*0.056+0.109</f>
        <v>3.0149520000000001</v>
      </c>
      <c r="BH5" s="30">
        <f t="shared" ref="BH5:BH41" si="13">F5*BG5%</f>
        <v>0</v>
      </c>
      <c r="BI5" s="26">
        <f>AK5*0.053-0.944</f>
        <v>1.806276</v>
      </c>
      <c r="BJ5" s="30">
        <f t="shared" ref="BJ5:BJ41" si="14">F5*BI5%</f>
        <v>0</v>
      </c>
      <c r="BK5" s="26">
        <f>AK5*0.093-1.616</f>
        <v>3.2099560000000005</v>
      </c>
      <c r="BL5" s="30">
        <f t="shared" ref="BL5:BL41" si="15">F5*BK5%</f>
        <v>0</v>
      </c>
      <c r="BM5" s="26">
        <f>AK5*0.059-0.874</f>
        <v>2.1876280000000001</v>
      </c>
      <c r="BN5" s="30">
        <f t="shared" ref="BN5:BN41" si="16">F5*BM5%</f>
        <v>0</v>
      </c>
      <c r="BO5" s="26">
        <v>5.54</v>
      </c>
      <c r="BP5" s="30">
        <f t="shared" ref="BP5:BP41" si="17">F5*BO5%</f>
        <v>0</v>
      </c>
      <c r="BQ5" s="26">
        <v>2.4771999999999998</v>
      </c>
      <c r="BR5" s="30">
        <f t="shared" ref="BR5:BR41" si="18">F5*BQ5%</f>
        <v>0</v>
      </c>
      <c r="BS5" s="26">
        <f>BQ5*0.952</f>
        <v>2.3582943999999997</v>
      </c>
      <c r="BT5" s="30">
        <f t="shared" ref="BT5:BT36" si="19">F5*BS5%</f>
        <v>0</v>
      </c>
      <c r="BU5" s="26">
        <v>0.23</v>
      </c>
      <c r="BV5" s="30">
        <f t="shared" ref="BV5:BV41" si="20">F5*BU5%</f>
        <v>0</v>
      </c>
      <c r="BW5" s="26">
        <v>1.35</v>
      </c>
      <c r="BX5" s="30">
        <f t="shared" ref="BX5:BX41" si="21">F5*BW5%</f>
        <v>0</v>
      </c>
      <c r="BY5" s="26">
        <v>0.74</v>
      </c>
      <c r="BZ5" s="30">
        <f t="shared" ref="BZ5:BZ41" si="22">F5*BY5%</f>
        <v>0</v>
      </c>
      <c r="CA5" s="26">
        <v>1.63</v>
      </c>
      <c r="CB5" s="30">
        <f t="shared" ref="CB5:CB41" si="23">F5*CA5%</f>
        <v>0</v>
      </c>
      <c r="CC5" s="26">
        <v>0.74</v>
      </c>
      <c r="CD5" s="29">
        <f t="shared" ref="CD5:CD41" si="24">F5*CC5%</f>
        <v>0</v>
      </c>
      <c r="CE5" s="31">
        <f t="shared" ref="CE5:CE23" si="25">(BW5*435)+(BY5*256)-(CA5*282)</f>
        <v>317.03000000000009</v>
      </c>
      <c r="CF5" s="29">
        <f t="shared" ref="CF5:CF41" si="26">F5*CE5%</f>
        <v>0</v>
      </c>
      <c r="CG5" s="26">
        <v>4.16</v>
      </c>
      <c r="CH5" s="30">
        <f t="shared" ref="CH5:CH41" si="27">F5*CG5%</f>
        <v>0</v>
      </c>
      <c r="CI5" s="26">
        <f>AO5*0.021</f>
        <v>0.29045100000000001</v>
      </c>
      <c r="CJ5" s="29">
        <f t="shared" ref="CJ5:CJ41" si="28">F5*CI5%</f>
        <v>0</v>
      </c>
      <c r="CK5" s="26">
        <v>0.23</v>
      </c>
      <c r="CL5" s="29">
        <f t="shared" ref="CL5:CL41" si="29">F5*CK5%</f>
        <v>0</v>
      </c>
      <c r="CM5" s="26">
        <v>1.25</v>
      </c>
      <c r="CN5" s="29">
        <f t="shared" ref="CN5:CN41" si="30">F5*CM5%</f>
        <v>0</v>
      </c>
      <c r="CO5" s="26">
        <v>0</v>
      </c>
      <c r="CP5" s="29">
        <f t="shared" ref="CP5:CP41" si="31">F5*CO5%</f>
        <v>0</v>
      </c>
      <c r="CQ5" s="26">
        <v>0</v>
      </c>
      <c r="CR5" s="29">
        <f t="shared" ref="CR5:CR41" si="32">F5*CQ5%</f>
        <v>0</v>
      </c>
      <c r="CS5" s="26">
        <v>0</v>
      </c>
      <c r="CT5" s="29">
        <f t="shared" ref="CT5:CT41" si="33">F5*CS5%</f>
        <v>0</v>
      </c>
      <c r="CU5" s="26">
        <f t="shared" ref="CU5:CU12" si="34">CW5-(AK5+AO5+AS5+AU5)</f>
        <v>10.25500000000001</v>
      </c>
      <c r="CV5" s="29">
        <f t="shared" ref="CV5:CV41" si="35">F5*CU5%</f>
        <v>0</v>
      </c>
      <c r="CW5" s="32">
        <v>91.819000000000003</v>
      </c>
      <c r="CX5" s="33">
        <f t="shared" ref="CX5:CX41" si="36">F5*CW5%</f>
        <v>0</v>
      </c>
      <c r="DC5" s="140"/>
      <c r="DD5" s="140"/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0"/>
      <c r="DY5" s="140"/>
      <c r="DZ5" s="140"/>
      <c r="EA5" s="140"/>
      <c r="EB5" s="140"/>
      <c r="EC5" s="140"/>
      <c r="ED5" s="140"/>
      <c r="EE5" s="140"/>
      <c r="EF5" s="140"/>
      <c r="EG5" s="140"/>
      <c r="EH5" s="140"/>
      <c r="EI5" s="140"/>
      <c r="EJ5" s="140"/>
      <c r="EK5" s="140"/>
      <c r="EL5" s="140"/>
      <c r="EM5" s="140"/>
      <c r="EN5" s="140"/>
      <c r="EO5" s="140"/>
      <c r="EP5" s="140"/>
      <c r="EQ5" s="140"/>
      <c r="ER5" s="140"/>
      <c r="ES5" s="140"/>
      <c r="ET5" s="140"/>
      <c r="EU5" s="140"/>
      <c r="EV5" s="140"/>
      <c r="EW5" s="140"/>
      <c r="EX5" s="140"/>
    </row>
    <row r="6" spans="1:154" s="1" customFormat="1" x14ac:dyDescent="0.3">
      <c r="A6" s="34"/>
      <c r="B6" s="62">
        <v>70000</v>
      </c>
      <c r="C6" s="55">
        <f t="shared" si="0"/>
        <v>0</v>
      </c>
      <c r="D6" s="78" t="s">
        <v>9</v>
      </c>
      <c r="E6" s="79">
        <f t="shared" ref="E6:E41" si="37">F6*$E$4%</f>
        <v>0</v>
      </c>
      <c r="F6" s="87">
        <v>0</v>
      </c>
      <c r="G6" s="87"/>
      <c r="H6" s="100"/>
      <c r="I6" s="101"/>
      <c r="J6" s="228">
        <f t="shared" ref="J6:J41" si="38">IF((H6)="",0,(H6))</f>
        <v>0</v>
      </c>
      <c r="K6" s="226">
        <f t="shared" ref="K6:K41" si="39">IF((I6)="",100,(I6))</f>
        <v>100</v>
      </c>
      <c r="L6" s="24"/>
      <c r="M6" s="84" t="s">
        <v>42</v>
      </c>
      <c r="N6" s="66" t="s">
        <v>43</v>
      </c>
      <c r="O6" s="119">
        <v>38</v>
      </c>
      <c r="P6" s="96"/>
      <c r="Q6" s="234">
        <f t="shared" ref="Q6:Q27" si="40">IF((O6)="",0,(O6))</f>
        <v>38</v>
      </c>
      <c r="R6" s="234">
        <f t="shared" ref="R6:R27" si="41">IF((P6)="",1000,(P6))</f>
        <v>1000</v>
      </c>
      <c r="S6" s="66"/>
      <c r="T6" s="68">
        <f>SUM(AL5:AL41)</f>
        <v>43.835198192571511</v>
      </c>
      <c r="U6" s="41"/>
      <c r="V6" s="113"/>
      <c r="W6" s="119">
        <v>42</v>
      </c>
      <c r="X6" s="249"/>
      <c r="Y6" s="119">
        <v>42</v>
      </c>
      <c r="Z6" s="249"/>
      <c r="AA6" s="119">
        <v>40</v>
      </c>
      <c r="AB6" s="249"/>
      <c r="AC6" s="119">
        <v>38</v>
      </c>
      <c r="AD6" s="249"/>
      <c r="AE6" s="119">
        <v>37</v>
      </c>
      <c r="AF6" s="116"/>
      <c r="AG6" s="24"/>
      <c r="AH6" s="60" t="s">
        <v>9</v>
      </c>
      <c r="AI6" s="21">
        <v>3630</v>
      </c>
      <c r="AJ6" s="6">
        <f t="shared" si="1"/>
        <v>0</v>
      </c>
      <c r="AK6" s="10">
        <v>61.232999999999997</v>
      </c>
      <c r="AL6" s="7">
        <f t="shared" si="2"/>
        <v>0</v>
      </c>
      <c r="AM6" s="10">
        <v>9.6690000000000005</v>
      </c>
      <c r="AN6" s="13">
        <f t="shared" si="3"/>
        <v>0</v>
      </c>
      <c r="AO6" s="10">
        <v>9.6690000000000005</v>
      </c>
      <c r="AP6" s="14">
        <f t="shared" si="4"/>
        <v>0</v>
      </c>
      <c r="AQ6" s="10">
        <v>0</v>
      </c>
      <c r="AR6" s="14">
        <f t="shared" si="5"/>
        <v>0</v>
      </c>
      <c r="AS6" s="10">
        <v>0</v>
      </c>
      <c r="AT6" s="14">
        <f t="shared" si="6"/>
        <v>0</v>
      </c>
      <c r="AU6" s="10">
        <v>15.555</v>
      </c>
      <c r="AV6" s="14">
        <f t="shared" si="7"/>
        <v>0</v>
      </c>
      <c r="AW6" s="10">
        <f>AK6*0.107-2.35</f>
        <v>4.2019310000000001</v>
      </c>
      <c r="AX6" s="17">
        <f t="shared" si="8"/>
        <v>0</v>
      </c>
      <c r="AY6" s="10">
        <f>AK6*0.038-0.767</f>
        <v>1.5598540000000001</v>
      </c>
      <c r="AZ6" s="17">
        <f t="shared" si="9"/>
        <v>0</v>
      </c>
      <c r="BA6" s="10">
        <f>AK6*0.049-0.935</f>
        <v>2.0654170000000001</v>
      </c>
      <c r="BB6" s="17">
        <f t="shared" si="10"/>
        <v>0</v>
      </c>
      <c r="BC6" s="10">
        <f>AK6*0.049-0.643</f>
        <v>2.3574169999999999</v>
      </c>
      <c r="BD6" s="17">
        <f t="shared" si="11"/>
        <v>0</v>
      </c>
      <c r="BE6" s="10">
        <f>AK6*0.016-0.374</f>
        <v>0.60572799999999993</v>
      </c>
      <c r="BF6" s="17">
        <f t="shared" si="12"/>
        <v>0</v>
      </c>
      <c r="BG6" s="10">
        <f>AK6*0.056+0.109</f>
        <v>3.5380479999999999</v>
      </c>
      <c r="BH6" s="17">
        <f t="shared" si="13"/>
        <v>0</v>
      </c>
      <c r="BI6" s="10">
        <f>AK6*0.053-0.944</f>
        <v>2.3013489999999996</v>
      </c>
      <c r="BJ6" s="17">
        <f t="shared" si="14"/>
        <v>0</v>
      </c>
      <c r="BK6" s="10">
        <f>AK6*0.093-1.616</f>
        <v>4.0786689999999997</v>
      </c>
      <c r="BL6" s="17">
        <f t="shared" si="15"/>
        <v>0</v>
      </c>
      <c r="BM6" s="10">
        <f>AK6*0.059-0.874</f>
        <v>2.7387469999999996</v>
      </c>
      <c r="BN6" s="17">
        <f t="shared" si="16"/>
        <v>0</v>
      </c>
      <c r="BO6" s="10">
        <v>3.85</v>
      </c>
      <c r="BP6" s="17">
        <f t="shared" si="17"/>
        <v>0</v>
      </c>
      <c r="BQ6" s="10">
        <v>2.262</v>
      </c>
      <c r="BR6" s="17">
        <f t="shared" si="18"/>
        <v>0</v>
      </c>
      <c r="BS6" s="10">
        <f>BQ6*0.952</f>
        <v>2.1534239999999998</v>
      </c>
      <c r="BT6" s="17">
        <f t="shared" si="19"/>
        <v>0</v>
      </c>
      <c r="BU6" s="12">
        <v>0.23</v>
      </c>
      <c r="BV6" s="18">
        <f t="shared" si="20"/>
        <v>0</v>
      </c>
      <c r="BW6" s="10">
        <v>1.18</v>
      </c>
      <c r="BX6" s="17">
        <f t="shared" si="21"/>
        <v>0</v>
      </c>
      <c r="BY6" s="10">
        <v>0.97</v>
      </c>
      <c r="BZ6" s="17">
        <f t="shared" si="22"/>
        <v>0</v>
      </c>
      <c r="CA6" s="10">
        <v>1.77</v>
      </c>
      <c r="CB6" s="17">
        <f t="shared" si="23"/>
        <v>0</v>
      </c>
      <c r="CC6" s="10">
        <v>0.71</v>
      </c>
      <c r="CD6" s="14">
        <f t="shared" si="24"/>
        <v>0</v>
      </c>
      <c r="CE6" s="21">
        <f t="shared" si="25"/>
        <v>262.4799999999999</v>
      </c>
      <c r="CF6" s="14">
        <f t="shared" si="26"/>
        <v>0</v>
      </c>
      <c r="CG6" s="10">
        <v>3.7629999999999999</v>
      </c>
      <c r="CH6" s="17">
        <f t="shared" si="27"/>
        <v>0</v>
      </c>
      <c r="CI6" s="10">
        <f>AO6*0.021</f>
        <v>0.20304900000000004</v>
      </c>
      <c r="CJ6" s="14">
        <f t="shared" si="28"/>
        <v>0</v>
      </c>
      <c r="CK6" s="10">
        <v>0.23</v>
      </c>
      <c r="CL6" s="14">
        <f t="shared" si="29"/>
        <v>0</v>
      </c>
      <c r="CM6" s="10">
        <v>1.25</v>
      </c>
      <c r="CN6" s="14">
        <f t="shared" si="30"/>
        <v>0</v>
      </c>
      <c r="CO6" s="10">
        <v>0</v>
      </c>
      <c r="CP6" s="14">
        <f t="shared" si="31"/>
        <v>0</v>
      </c>
      <c r="CQ6" s="10">
        <v>0</v>
      </c>
      <c r="CR6" s="14">
        <f t="shared" si="32"/>
        <v>0</v>
      </c>
      <c r="CS6" s="10">
        <v>0</v>
      </c>
      <c r="CT6" s="14">
        <f t="shared" si="33"/>
        <v>0</v>
      </c>
      <c r="CU6" s="10">
        <f t="shared" si="34"/>
        <v>5.362000000000009</v>
      </c>
      <c r="CV6" s="14">
        <f t="shared" si="35"/>
        <v>0</v>
      </c>
      <c r="CW6" s="11">
        <v>91.819000000000003</v>
      </c>
      <c r="CX6" s="20">
        <f t="shared" si="36"/>
        <v>0</v>
      </c>
      <c r="CY6" s="34"/>
      <c r="CZ6" s="34"/>
      <c r="DA6" s="34"/>
      <c r="DB6" s="34"/>
      <c r="DC6" s="140"/>
      <c r="DD6" s="140"/>
      <c r="DE6" s="140"/>
      <c r="DF6" s="140"/>
      <c r="DG6" s="140"/>
      <c r="DH6" s="140"/>
      <c r="DI6" s="140"/>
      <c r="DJ6" s="140"/>
      <c r="DK6" s="140"/>
      <c r="DL6" s="140"/>
      <c r="DM6" s="140"/>
      <c r="DN6" s="140"/>
      <c r="DO6" s="140"/>
      <c r="DP6" s="140"/>
      <c r="DQ6" s="140"/>
      <c r="DR6" s="140"/>
      <c r="DS6" s="140"/>
      <c r="DT6" s="140"/>
      <c r="DU6" s="140"/>
      <c r="DV6" s="140"/>
      <c r="DW6" s="140"/>
      <c r="DX6" s="140"/>
      <c r="DY6" s="140"/>
      <c r="DZ6" s="140"/>
      <c r="EA6" s="140"/>
      <c r="EB6" s="140"/>
      <c r="EC6" s="140"/>
      <c r="ED6" s="140"/>
      <c r="EE6" s="140"/>
      <c r="EF6" s="140"/>
      <c r="EG6" s="140"/>
      <c r="EH6" s="140"/>
      <c r="EI6" s="140"/>
      <c r="EJ6" s="140"/>
      <c r="EK6" s="140"/>
      <c r="EL6" s="140"/>
      <c r="EM6" s="140"/>
      <c r="EN6" s="140"/>
      <c r="EO6" s="140"/>
      <c r="EP6" s="140"/>
      <c r="EQ6" s="140"/>
      <c r="ER6" s="140"/>
      <c r="ES6" s="140"/>
      <c r="ET6" s="140"/>
      <c r="EU6" s="140"/>
      <c r="EV6" s="140"/>
      <c r="EW6" s="140"/>
      <c r="EX6" s="140"/>
    </row>
    <row r="7" spans="1:154" s="34" customFormat="1" x14ac:dyDescent="0.3">
      <c r="B7" s="61">
        <v>80000</v>
      </c>
      <c r="C7" s="56">
        <f t="shared" si="0"/>
        <v>12111.247415315363</v>
      </c>
      <c r="D7" s="76" t="s">
        <v>10</v>
      </c>
      <c r="E7" s="77">
        <f t="shared" si="37"/>
        <v>151.39059269144207</v>
      </c>
      <c r="F7" s="86">
        <v>15.139059269144205</v>
      </c>
      <c r="G7" s="86"/>
      <c r="H7" s="98"/>
      <c r="I7" s="99"/>
      <c r="J7" s="228">
        <f t="shared" si="38"/>
        <v>0</v>
      </c>
      <c r="K7" s="226">
        <f t="shared" si="39"/>
        <v>100</v>
      </c>
      <c r="L7" s="24"/>
      <c r="M7" s="83" t="s">
        <v>46</v>
      </c>
      <c r="N7" s="65" t="s">
        <v>43</v>
      </c>
      <c r="O7" s="118">
        <v>14.5</v>
      </c>
      <c r="P7" s="95"/>
      <c r="Q7" s="233">
        <f t="shared" si="40"/>
        <v>14.5</v>
      </c>
      <c r="R7" s="233">
        <f t="shared" si="41"/>
        <v>1000</v>
      </c>
      <c r="S7" s="65"/>
      <c r="T7" s="69">
        <f>SUM(AN5:AN41)</f>
        <v>14.500000000000011</v>
      </c>
      <c r="U7" s="41"/>
      <c r="V7" s="113"/>
      <c r="W7" s="118">
        <v>12.5</v>
      </c>
      <c r="X7" s="249"/>
      <c r="Y7" s="118">
        <v>12.5</v>
      </c>
      <c r="Z7" s="249"/>
      <c r="AA7" s="118">
        <v>13.5</v>
      </c>
      <c r="AB7" s="249"/>
      <c r="AC7" s="118">
        <v>14.5</v>
      </c>
      <c r="AD7" s="249"/>
      <c r="AE7" s="118">
        <v>15</v>
      </c>
      <c r="AF7" s="116"/>
      <c r="AG7" s="24"/>
      <c r="AH7" s="59" t="s">
        <v>10</v>
      </c>
      <c r="AI7" s="31">
        <v>3750</v>
      </c>
      <c r="AJ7" s="25">
        <f t="shared" si="1"/>
        <v>567.71472259290772</v>
      </c>
      <c r="AK7" s="26">
        <v>68.36</v>
      </c>
      <c r="AL7" s="27">
        <f t="shared" si="2"/>
        <v>10.349060916386978</v>
      </c>
      <c r="AM7" s="26">
        <v>7.6630000000000003</v>
      </c>
      <c r="AN7" s="28">
        <f t="shared" si="3"/>
        <v>1.1601061117945204</v>
      </c>
      <c r="AO7" s="26">
        <v>7.6630000000000003</v>
      </c>
      <c r="AP7" s="29">
        <f t="shared" si="4"/>
        <v>1.1601061117945204</v>
      </c>
      <c r="AQ7" s="26">
        <v>0</v>
      </c>
      <c r="AR7" s="29">
        <f t="shared" si="5"/>
        <v>0</v>
      </c>
      <c r="AS7" s="26">
        <v>0</v>
      </c>
      <c r="AT7" s="29">
        <f t="shared" si="6"/>
        <v>0</v>
      </c>
      <c r="AU7" s="26">
        <v>14.784000000000001</v>
      </c>
      <c r="AV7" s="29">
        <f t="shared" si="7"/>
        <v>2.2381585223502793</v>
      </c>
      <c r="AW7" s="26">
        <f>AK7*0.107-2.35</f>
        <v>4.9645200000000003</v>
      </c>
      <c r="AX7" s="30">
        <f t="shared" si="8"/>
        <v>0.7515816252285179</v>
      </c>
      <c r="AY7" s="26">
        <f>AK7*0.038-0.767</f>
        <v>1.8306800000000001</v>
      </c>
      <c r="AZ7" s="30">
        <f t="shared" si="9"/>
        <v>0.27714773022836914</v>
      </c>
      <c r="BA7" s="26">
        <f>AK7*0.049-0.935</f>
        <v>2.4146399999999999</v>
      </c>
      <c r="BB7" s="30">
        <f t="shared" si="10"/>
        <v>0.36555378073646361</v>
      </c>
      <c r="BC7" s="26">
        <f>AK7*0.049-0.643</f>
        <v>2.7066400000000002</v>
      </c>
      <c r="BD7" s="30">
        <f t="shared" si="11"/>
        <v>0.40975983380236475</v>
      </c>
      <c r="BE7" s="26">
        <f>AK7*0.016-0.374</f>
        <v>0.71976000000000007</v>
      </c>
      <c r="BF7" s="30">
        <f t="shared" si="12"/>
        <v>0.10896489299559235</v>
      </c>
      <c r="BG7" s="26">
        <f>AK7*0.056+0.109</f>
        <v>3.93716</v>
      </c>
      <c r="BH7" s="30">
        <f t="shared" si="13"/>
        <v>0.59604898592103794</v>
      </c>
      <c r="BI7" s="26">
        <f>AK7*0.053-0.944</f>
        <v>2.6790799999999999</v>
      </c>
      <c r="BJ7" s="30">
        <f t="shared" si="14"/>
        <v>0.40558750906778857</v>
      </c>
      <c r="BK7" s="26">
        <f>AK7*0.093-1.616</f>
        <v>4.7414799999999993</v>
      </c>
      <c r="BL7" s="30">
        <f t="shared" si="15"/>
        <v>0.71781546743461855</v>
      </c>
      <c r="BM7" s="26">
        <f>AK7*0.059-0.874</f>
        <v>3.15924</v>
      </c>
      <c r="BN7" s="30">
        <f t="shared" si="16"/>
        <v>0.4782792160545114</v>
      </c>
      <c r="BO7" s="26">
        <v>2.41</v>
      </c>
      <c r="BP7" s="30">
        <f t="shared" si="17"/>
        <v>0.36485132838637535</v>
      </c>
      <c r="BQ7" s="26">
        <v>2.2970000000000002</v>
      </c>
      <c r="BR7" s="30">
        <f t="shared" si="18"/>
        <v>0.34774419141224239</v>
      </c>
      <c r="BS7" s="26">
        <f>BQ7*0.952</f>
        <v>2.186744</v>
      </c>
      <c r="BT7" s="30">
        <f t="shared" si="19"/>
        <v>0.33105247022445478</v>
      </c>
      <c r="BU7" s="26">
        <v>0.23</v>
      </c>
      <c r="BV7" s="30">
        <f t="shared" si="20"/>
        <v>3.4819836319031669E-2</v>
      </c>
      <c r="BW7" s="26">
        <v>1.02</v>
      </c>
      <c r="BX7" s="30">
        <f t="shared" si="21"/>
        <v>0.15441840454527089</v>
      </c>
      <c r="BY7" s="26">
        <v>1.22</v>
      </c>
      <c r="BZ7" s="30">
        <f t="shared" si="22"/>
        <v>0.1846965230835593</v>
      </c>
      <c r="CA7" s="26">
        <v>1.51</v>
      </c>
      <c r="CB7" s="30">
        <f t="shared" si="23"/>
        <v>0.22859979496407751</v>
      </c>
      <c r="CC7" s="26">
        <v>0.67</v>
      </c>
      <c r="CD7" s="29">
        <f t="shared" si="24"/>
        <v>0.10143169710326617</v>
      </c>
      <c r="CE7" s="31">
        <f t="shared" si="25"/>
        <v>330.2</v>
      </c>
      <c r="CF7" s="29">
        <f t="shared" si="26"/>
        <v>49.989173706714169</v>
      </c>
      <c r="CG7" s="26">
        <v>3.7639999999999998</v>
      </c>
      <c r="CH7" s="30">
        <f t="shared" si="27"/>
        <v>0.56983419089058784</v>
      </c>
      <c r="CI7" s="26">
        <f>AO7*0.021</f>
        <v>0.16092300000000001</v>
      </c>
      <c r="CJ7" s="29">
        <f t="shared" si="28"/>
        <v>2.4362228347684933E-2</v>
      </c>
      <c r="CK7" s="26">
        <v>0.23</v>
      </c>
      <c r="CL7" s="29">
        <f t="shared" si="29"/>
        <v>3.4819836319031669E-2</v>
      </c>
      <c r="CM7" s="26">
        <v>1.25</v>
      </c>
      <c r="CN7" s="29">
        <f>F7*CM7%</f>
        <v>0.18923824086430258</v>
      </c>
      <c r="CO7" s="26">
        <v>0</v>
      </c>
      <c r="CP7" s="29">
        <f t="shared" si="31"/>
        <v>0</v>
      </c>
      <c r="CQ7" s="26">
        <v>0</v>
      </c>
      <c r="CR7" s="29">
        <f t="shared" si="32"/>
        <v>0</v>
      </c>
      <c r="CS7" s="26">
        <v>0</v>
      </c>
      <c r="CT7" s="29">
        <f t="shared" si="33"/>
        <v>0</v>
      </c>
      <c r="CU7" s="26">
        <f t="shared" si="34"/>
        <v>1.0120000000000005</v>
      </c>
      <c r="CV7" s="29">
        <f t="shared" si="35"/>
        <v>0.15320727980373941</v>
      </c>
      <c r="CW7" s="32">
        <v>91.819000000000003</v>
      </c>
      <c r="CX7" s="33">
        <f t="shared" si="36"/>
        <v>13.90053283033552</v>
      </c>
      <c r="DC7" s="140"/>
      <c r="DD7" s="140"/>
      <c r="DE7" s="140"/>
      <c r="DF7" s="140"/>
      <c r="DG7" s="140"/>
      <c r="DH7" s="140"/>
      <c r="DI7" s="140"/>
      <c r="DJ7" s="140"/>
      <c r="DK7" s="140"/>
      <c r="DL7" s="140"/>
      <c r="DM7" s="140"/>
      <c r="DN7" s="140"/>
      <c r="DO7" s="140"/>
      <c r="DP7" s="140"/>
      <c r="DQ7" s="140"/>
      <c r="DR7" s="140"/>
      <c r="DS7" s="140"/>
      <c r="DT7" s="140"/>
      <c r="DU7" s="140"/>
      <c r="DV7" s="140"/>
      <c r="DW7" s="140"/>
      <c r="DX7" s="140"/>
      <c r="DY7" s="140"/>
      <c r="DZ7" s="140"/>
      <c r="EA7" s="140"/>
      <c r="EB7" s="140"/>
      <c r="EC7" s="140"/>
      <c r="ED7" s="140"/>
      <c r="EE7" s="140"/>
      <c r="EF7" s="140"/>
      <c r="EG7" s="140"/>
      <c r="EH7" s="140"/>
      <c r="EI7" s="140"/>
      <c r="EJ7" s="140"/>
      <c r="EK7" s="140"/>
      <c r="EL7" s="140"/>
      <c r="EM7" s="140"/>
      <c r="EN7" s="140"/>
      <c r="EO7" s="140"/>
      <c r="EP7" s="140"/>
      <c r="EQ7" s="140"/>
      <c r="ER7" s="140"/>
      <c r="ES7" s="140"/>
      <c r="ET7" s="140"/>
      <c r="EU7" s="140"/>
      <c r="EV7" s="140"/>
      <c r="EW7" s="140"/>
      <c r="EX7" s="140"/>
    </row>
    <row r="8" spans="1:154" s="1" customFormat="1" x14ac:dyDescent="0.3">
      <c r="A8" s="34"/>
      <c r="B8" s="62">
        <v>18000</v>
      </c>
      <c r="C8" s="55">
        <f t="shared" si="0"/>
        <v>0</v>
      </c>
      <c r="D8" s="78" t="s">
        <v>11</v>
      </c>
      <c r="E8" s="79">
        <f t="shared" si="37"/>
        <v>0</v>
      </c>
      <c r="F8" s="87">
        <v>0</v>
      </c>
      <c r="G8" s="87"/>
      <c r="H8" s="100"/>
      <c r="I8" s="101"/>
      <c r="J8" s="228">
        <f t="shared" si="38"/>
        <v>0</v>
      </c>
      <c r="K8" s="226">
        <f t="shared" si="39"/>
        <v>100</v>
      </c>
      <c r="L8" s="24"/>
      <c r="M8" s="84" t="s">
        <v>140</v>
      </c>
      <c r="N8" s="66" t="s">
        <v>43</v>
      </c>
      <c r="O8" s="119"/>
      <c r="P8" s="96">
        <v>6</v>
      </c>
      <c r="Q8" s="234">
        <f t="shared" si="40"/>
        <v>0</v>
      </c>
      <c r="R8" s="234">
        <f t="shared" si="41"/>
        <v>6</v>
      </c>
      <c r="S8" s="66"/>
      <c r="T8" s="68">
        <f>SUM(AP5:AP41)</f>
        <v>5.6748223525789374</v>
      </c>
      <c r="U8" s="41"/>
      <c r="V8" s="113"/>
      <c r="W8" s="119"/>
      <c r="X8" s="249"/>
      <c r="Y8" s="119"/>
      <c r="Z8" s="249"/>
      <c r="AA8" s="119"/>
      <c r="AB8" s="249"/>
      <c r="AC8" s="119"/>
      <c r="AD8" s="249"/>
      <c r="AE8" s="119"/>
      <c r="AF8" s="116"/>
      <c r="AG8" s="24"/>
      <c r="AH8" s="60" t="s">
        <v>11</v>
      </c>
      <c r="AI8" s="21">
        <v>3200</v>
      </c>
      <c r="AJ8" s="6">
        <f t="shared" si="1"/>
        <v>0</v>
      </c>
      <c r="AK8" s="10">
        <v>45</v>
      </c>
      <c r="AL8" s="7">
        <f t="shared" si="2"/>
        <v>0</v>
      </c>
      <c r="AM8" s="10">
        <v>8.5</v>
      </c>
      <c r="AN8" s="13">
        <f t="shared" si="3"/>
        <v>0</v>
      </c>
      <c r="AO8" s="10">
        <v>8.5</v>
      </c>
      <c r="AP8" s="14">
        <f t="shared" si="4"/>
        <v>0</v>
      </c>
      <c r="AQ8" s="10">
        <v>0</v>
      </c>
      <c r="AR8" s="14">
        <f t="shared" si="5"/>
        <v>0</v>
      </c>
      <c r="AS8" s="10">
        <v>0</v>
      </c>
      <c r="AT8" s="14">
        <f t="shared" si="6"/>
        <v>0</v>
      </c>
      <c r="AU8" s="10">
        <v>30.55</v>
      </c>
      <c r="AV8" s="14">
        <f t="shared" si="7"/>
        <v>0</v>
      </c>
      <c r="AW8" s="10">
        <f>AK8*0.043404</f>
        <v>1.9531799999999999</v>
      </c>
      <c r="AX8" s="17">
        <f t="shared" si="8"/>
        <v>0</v>
      </c>
      <c r="AY8" s="10">
        <f>AK8*0.01176</f>
        <v>0.5292</v>
      </c>
      <c r="AZ8" s="17">
        <f t="shared" si="9"/>
        <v>0</v>
      </c>
      <c r="BA8" s="10">
        <f>AK8*0.021595</f>
        <v>0.97177499999999994</v>
      </c>
      <c r="BB8" s="17">
        <f t="shared" si="10"/>
        <v>0</v>
      </c>
      <c r="BC8" s="10">
        <f>AK8*0.045-0.703</f>
        <v>1.3220000000000001</v>
      </c>
      <c r="BD8" s="17">
        <f t="shared" si="11"/>
        <v>0</v>
      </c>
      <c r="BE8" s="10">
        <f>AK8*0.005559</f>
        <v>0.25015499999999996</v>
      </c>
      <c r="BF8" s="17">
        <f t="shared" si="12"/>
        <v>0</v>
      </c>
      <c r="BG8" s="10">
        <f>AK8*0.059+0.476</f>
        <v>3.1309999999999998</v>
      </c>
      <c r="BH8" s="17">
        <f t="shared" si="13"/>
        <v>0</v>
      </c>
      <c r="BI8" s="10">
        <f>AK8*0.045-0.882</f>
        <v>1.1429999999999998</v>
      </c>
      <c r="BJ8" s="17">
        <f t="shared" si="14"/>
        <v>0</v>
      </c>
      <c r="BK8" s="10">
        <f>AK8*0.083-1.328</f>
        <v>2.407</v>
      </c>
      <c r="BL8" s="17">
        <f t="shared" si="15"/>
        <v>0</v>
      </c>
      <c r="BM8" s="10">
        <f>AK8*0.061-1.017</f>
        <v>1.7280000000000002</v>
      </c>
      <c r="BN8" s="17">
        <f t="shared" si="16"/>
        <v>0</v>
      </c>
      <c r="BO8" s="10">
        <v>10.19</v>
      </c>
      <c r="BP8" s="17">
        <f t="shared" si="17"/>
        <v>0</v>
      </c>
      <c r="BQ8" s="10">
        <v>4.4320000000000004</v>
      </c>
      <c r="BR8" s="17">
        <f t="shared" si="18"/>
        <v>0</v>
      </c>
      <c r="BS8" s="10">
        <f>BQ8*0.894</f>
        <v>3.9622080000000004</v>
      </c>
      <c r="BT8" s="17">
        <f t="shared" si="19"/>
        <v>0</v>
      </c>
      <c r="BU8" s="12">
        <v>0.23</v>
      </c>
      <c r="BV8" s="18">
        <f t="shared" si="20"/>
        <v>0</v>
      </c>
      <c r="BW8" s="10">
        <v>0.72</v>
      </c>
      <c r="BX8" s="17">
        <f t="shared" si="21"/>
        <v>0</v>
      </c>
      <c r="BY8" s="10">
        <v>0.36</v>
      </c>
      <c r="BZ8" s="17">
        <f t="shared" si="22"/>
        <v>0</v>
      </c>
      <c r="CA8" s="10">
        <v>0.7</v>
      </c>
      <c r="CB8" s="17">
        <f t="shared" si="23"/>
        <v>0</v>
      </c>
      <c r="CC8" s="10">
        <v>0.89</v>
      </c>
      <c r="CD8" s="14">
        <f t="shared" si="24"/>
        <v>0</v>
      </c>
      <c r="CE8" s="21">
        <f t="shared" si="25"/>
        <v>207.96000000000004</v>
      </c>
      <c r="CF8" s="14">
        <f t="shared" si="26"/>
        <v>0</v>
      </c>
      <c r="CG8" s="10">
        <v>2.0739999999999998</v>
      </c>
      <c r="CH8" s="17">
        <f t="shared" si="27"/>
        <v>0</v>
      </c>
      <c r="CI8" s="10">
        <f>AO8*0.036</f>
        <v>0.30599999999999999</v>
      </c>
      <c r="CJ8" s="14">
        <f t="shared" si="28"/>
        <v>0</v>
      </c>
      <c r="CK8" s="10">
        <v>0</v>
      </c>
      <c r="CL8" s="14">
        <f t="shared" si="29"/>
        <v>0</v>
      </c>
      <c r="CM8" s="10">
        <v>0</v>
      </c>
      <c r="CN8" s="14">
        <f t="shared" si="30"/>
        <v>0</v>
      </c>
      <c r="CO8" s="10">
        <v>0</v>
      </c>
      <c r="CP8" s="14">
        <f t="shared" si="31"/>
        <v>0</v>
      </c>
      <c r="CQ8" s="10">
        <v>0</v>
      </c>
      <c r="CR8" s="14">
        <f t="shared" si="32"/>
        <v>0</v>
      </c>
      <c r="CS8" s="10">
        <v>0</v>
      </c>
      <c r="CT8" s="14">
        <f t="shared" si="33"/>
        <v>0</v>
      </c>
      <c r="CU8" s="10">
        <f t="shared" si="34"/>
        <v>6.9500000000000028</v>
      </c>
      <c r="CV8" s="14">
        <f t="shared" si="35"/>
        <v>0</v>
      </c>
      <c r="CW8" s="11">
        <v>91</v>
      </c>
      <c r="CX8" s="20">
        <f t="shared" si="36"/>
        <v>0</v>
      </c>
      <c r="CY8" s="34"/>
      <c r="CZ8" s="34"/>
      <c r="DA8" s="34"/>
      <c r="DB8" s="34"/>
      <c r="DC8" s="140"/>
      <c r="DD8" s="140"/>
      <c r="DE8" s="140"/>
      <c r="DF8" s="140"/>
      <c r="DG8" s="140"/>
      <c r="DH8" s="140"/>
      <c r="DI8" s="140"/>
      <c r="DJ8" s="140"/>
      <c r="DK8" s="140"/>
      <c r="DL8" s="140"/>
      <c r="DM8" s="140"/>
      <c r="DN8" s="140"/>
      <c r="DO8" s="140"/>
      <c r="DP8" s="140"/>
      <c r="DQ8" s="140"/>
      <c r="DR8" s="140"/>
      <c r="DS8" s="140"/>
      <c r="DT8" s="140"/>
      <c r="DU8" s="140"/>
      <c r="DV8" s="140"/>
      <c r="DW8" s="140"/>
      <c r="DX8" s="140"/>
      <c r="DY8" s="140"/>
      <c r="DZ8" s="140"/>
      <c r="EA8" s="140"/>
      <c r="EB8" s="140"/>
      <c r="EC8" s="140"/>
      <c r="ED8" s="140"/>
      <c r="EE8" s="140"/>
      <c r="EF8" s="140"/>
      <c r="EG8" s="140"/>
      <c r="EH8" s="140"/>
      <c r="EI8" s="140"/>
      <c r="EJ8" s="140"/>
      <c r="EK8" s="140"/>
      <c r="EL8" s="140"/>
      <c r="EM8" s="140"/>
      <c r="EN8" s="140"/>
      <c r="EO8" s="140"/>
      <c r="EP8" s="140"/>
      <c r="EQ8" s="140"/>
      <c r="ER8" s="140"/>
      <c r="ES8" s="140"/>
      <c r="ET8" s="140"/>
      <c r="EU8" s="140"/>
      <c r="EV8" s="140"/>
      <c r="EW8" s="140"/>
      <c r="EX8" s="140"/>
    </row>
    <row r="9" spans="1:154" s="34" customFormat="1" x14ac:dyDescent="0.3">
      <c r="B9" s="61">
        <v>18000</v>
      </c>
      <c r="C9" s="56">
        <f t="shared" si="0"/>
        <v>0</v>
      </c>
      <c r="D9" s="76" t="s">
        <v>12</v>
      </c>
      <c r="E9" s="77">
        <f t="shared" si="37"/>
        <v>0</v>
      </c>
      <c r="F9" s="86">
        <v>0</v>
      </c>
      <c r="G9" s="86"/>
      <c r="H9" s="98"/>
      <c r="I9" s="99"/>
      <c r="J9" s="228">
        <f t="shared" si="38"/>
        <v>0</v>
      </c>
      <c r="K9" s="226">
        <f t="shared" si="39"/>
        <v>100</v>
      </c>
      <c r="L9" s="24"/>
      <c r="M9" s="83" t="s">
        <v>44</v>
      </c>
      <c r="N9" s="65" t="s">
        <v>43</v>
      </c>
      <c r="O9" s="118">
        <v>11</v>
      </c>
      <c r="P9" s="95"/>
      <c r="Q9" s="233">
        <f t="shared" si="40"/>
        <v>11</v>
      </c>
      <c r="R9" s="233">
        <f t="shared" si="41"/>
        <v>1000</v>
      </c>
      <c r="S9" s="65"/>
      <c r="T9" s="69">
        <f>SUM(AR5:AR41)</f>
        <v>11.490438367221042</v>
      </c>
      <c r="U9" s="41"/>
      <c r="V9" s="113"/>
      <c r="W9" s="118">
        <v>9</v>
      </c>
      <c r="X9" s="249"/>
      <c r="Y9" s="118">
        <v>9</v>
      </c>
      <c r="Z9" s="249"/>
      <c r="AA9" s="118">
        <v>9</v>
      </c>
      <c r="AB9" s="249"/>
      <c r="AC9" s="118">
        <v>11</v>
      </c>
      <c r="AD9" s="249"/>
      <c r="AE9" s="118">
        <v>12</v>
      </c>
      <c r="AF9" s="116"/>
      <c r="AG9" s="24"/>
      <c r="AH9" s="59" t="s">
        <v>12</v>
      </c>
      <c r="AI9" s="31">
        <v>3200</v>
      </c>
      <c r="AJ9" s="25">
        <f t="shared" si="1"/>
        <v>0</v>
      </c>
      <c r="AK9" s="26">
        <v>48</v>
      </c>
      <c r="AL9" s="27">
        <f t="shared" si="2"/>
        <v>0</v>
      </c>
      <c r="AM9" s="26">
        <v>10.5</v>
      </c>
      <c r="AN9" s="28">
        <f t="shared" si="3"/>
        <v>0</v>
      </c>
      <c r="AO9" s="26">
        <v>10.5</v>
      </c>
      <c r="AP9" s="29">
        <f t="shared" si="4"/>
        <v>0</v>
      </c>
      <c r="AQ9" s="26">
        <v>0</v>
      </c>
      <c r="AR9" s="29">
        <f t="shared" si="5"/>
        <v>0</v>
      </c>
      <c r="AS9" s="26">
        <v>0</v>
      </c>
      <c r="AT9" s="29">
        <f t="shared" si="6"/>
        <v>0</v>
      </c>
      <c r="AU9" s="26">
        <v>20.440000000000001</v>
      </c>
      <c r="AV9" s="29">
        <f t="shared" si="7"/>
        <v>0</v>
      </c>
      <c r="AW9" s="26">
        <f>AK9*0.0477</f>
        <v>2.2896000000000001</v>
      </c>
      <c r="AX9" s="30">
        <f t="shared" si="8"/>
        <v>0</v>
      </c>
      <c r="AY9" s="26">
        <f>AK9*0.013272</f>
        <v>0.63705600000000007</v>
      </c>
      <c r="AZ9" s="30">
        <f t="shared" si="9"/>
        <v>0</v>
      </c>
      <c r="BA9" s="26">
        <f>AK9*0.039-0.784</f>
        <v>1.0879999999999999</v>
      </c>
      <c r="BB9" s="30">
        <f t="shared" si="10"/>
        <v>0</v>
      </c>
      <c r="BC9" s="26">
        <f>AK9*0.047-0.709</f>
        <v>1.5470000000000002</v>
      </c>
      <c r="BD9" s="30">
        <f t="shared" si="11"/>
        <v>0</v>
      </c>
      <c r="BE9" s="26">
        <f>AK9*0.011-0.21</f>
        <v>0.31800000000000006</v>
      </c>
      <c r="BF9" s="30">
        <f t="shared" si="12"/>
        <v>0</v>
      </c>
      <c r="BG9" s="26">
        <f>AK9*0.056+0.539</f>
        <v>3.2270000000000003</v>
      </c>
      <c r="BH9" s="30">
        <f t="shared" si="13"/>
        <v>0</v>
      </c>
      <c r="BI9" s="26">
        <f>AK9*0.05-0.986</f>
        <v>1.4140000000000004</v>
      </c>
      <c r="BJ9" s="30">
        <f t="shared" si="14"/>
        <v>0</v>
      </c>
      <c r="BK9" s="26">
        <f>AK9*0.095-1.626</f>
        <v>2.9340000000000006</v>
      </c>
      <c r="BL9" s="30">
        <f t="shared" si="15"/>
        <v>0</v>
      </c>
      <c r="BM9" s="26">
        <f>AK9*0.076-1.558</f>
        <v>2.09</v>
      </c>
      <c r="BN9" s="30">
        <f t="shared" si="16"/>
        <v>0</v>
      </c>
      <c r="BO9" s="26">
        <v>7.98</v>
      </c>
      <c r="BP9" s="30">
        <f t="shared" si="17"/>
        <v>0</v>
      </c>
      <c r="BQ9" s="26">
        <v>3</v>
      </c>
      <c r="BR9" s="30">
        <f t="shared" si="18"/>
        <v>0</v>
      </c>
      <c r="BS9" s="26">
        <f>BQ9*0.894</f>
        <v>2.6819999999999999</v>
      </c>
      <c r="BT9" s="30">
        <f t="shared" si="19"/>
        <v>0</v>
      </c>
      <c r="BU9" s="26">
        <v>0.2</v>
      </c>
      <c r="BV9" s="30">
        <f t="shared" si="20"/>
        <v>0</v>
      </c>
      <c r="BW9" s="26">
        <v>0.65</v>
      </c>
      <c r="BX9" s="30">
        <f t="shared" si="21"/>
        <v>0</v>
      </c>
      <c r="BY9" s="26">
        <v>0.46</v>
      </c>
      <c r="BZ9" s="30">
        <f t="shared" si="22"/>
        <v>0</v>
      </c>
      <c r="CA9" s="26">
        <v>0.9</v>
      </c>
      <c r="CB9" s="30">
        <f t="shared" si="23"/>
        <v>0</v>
      </c>
      <c r="CC9" s="26">
        <v>0.89</v>
      </c>
      <c r="CD9" s="29">
        <f t="shared" si="24"/>
        <v>0</v>
      </c>
      <c r="CE9" s="31">
        <f t="shared" si="25"/>
        <v>146.70999999999998</v>
      </c>
      <c r="CF9" s="29">
        <f t="shared" si="26"/>
        <v>0</v>
      </c>
      <c r="CG9" s="26">
        <v>2.2000000000000002</v>
      </c>
      <c r="CH9" s="30">
        <f t="shared" si="27"/>
        <v>0</v>
      </c>
      <c r="CI9" s="26">
        <f>AO9*0.036</f>
        <v>0.37799999999999995</v>
      </c>
      <c r="CJ9" s="29">
        <f t="shared" si="28"/>
        <v>0</v>
      </c>
      <c r="CK9" s="26">
        <v>0</v>
      </c>
      <c r="CL9" s="29">
        <f t="shared" si="29"/>
        <v>0</v>
      </c>
      <c r="CM9" s="26">
        <v>0</v>
      </c>
      <c r="CN9" s="29">
        <f t="shared" si="30"/>
        <v>0</v>
      </c>
      <c r="CO9" s="26">
        <v>0</v>
      </c>
      <c r="CP9" s="29">
        <f t="shared" si="31"/>
        <v>0</v>
      </c>
      <c r="CQ9" s="26">
        <v>0</v>
      </c>
      <c r="CR9" s="29">
        <f t="shared" si="32"/>
        <v>0</v>
      </c>
      <c r="CS9" s="26">
        <v>0</v>
      </c>
      <c r="CT9" s="29">
        <f t="shared" si="33"/>
        <v>0</v>
      </c>
      <c r="CU9" s="26">
        <f t="shared" si="34"/>
        <v>12.060000000000002</v>
      </c>
      <c r="CV9" s="29">
        <f t="shared" si="35"/>
        <v>0</v>
      </c>
      <c r="CW9" s="32">
        <v>91</v>
      </c>
      <c r="CX9" s="33">
        <f t="shared" si="36"/>
        <v>0</v>
      </c>
      <c r="DC9" s="140"/>
      <c r="DD9" s="140"/>
      <c r="DE9" s="140"/>
      <c r="DF9" s="140"/>
      <c r="DG9" s="140"/>
      <c r="DH9" s="140"/>
      <c r="DI9" s="140"/>
      <c r="DJ9" s="140"/>
      <c r="DK9" s="140"/>
      <c r="DL9" s="140"/>
      <c r="DM9" s="140"/>
      <c r="DN9" s="140"/>
      <c r="DO9" s="140"/>
      <c r="DP9" s="140"/>
      <c r="DQ9" s="140"/>
      <c r="DR9" s="140"/>
      <c r="DS9" s="140"/>
      <c r="DT9" s="140"/>
      <c r="DU9" s="140"/>
      <c r="DV9" s="140"/>
      <c r="DW9" s="140"/>
      <c r="DX9" s="140"/>
      <c r="DY9" s="140"/>
      <c r="DZ9" s="140"/>
      <c r="EA9" s="140"/>
      <c r="EB9" s="140"/>
      <c r="EC9" s="140"/>
      <c r="ED9" s="140"/>
      <c r="EE9" s="140"/>
      <c r="EF9" s="140"/>
      <c r="EG9" s="140"/>
      <c r="EH9" s="140"/>
      <c r="EI9" s="140"/>
      <c r="EJ9" s="140"/>
      <c r="EK9" s="140"/>
      <c r="EL9" s="140"/>
      <c r="EM9" s="140"/>
      <c r="EN9" s="140"/>
      <c r="EO9" s="140"/>
      <c r="EP9" s="140"/>
      <c r="EQ9" s="140"/>
      <c r="ER9" s="140"/>
      <c r="ES9" s="140"/>
      <c r="ET9" s="140"/>
      <c r="EU9" s="140"/>
      <c r="EV9" s="140"/>
      <c r="EW9" s="140"/>
      <c r="EX9" s="140"/>
    </row>
    <row r="10" spans="1:154" s="34" customFormat="1" x14ac:dyDescent="0.3">
      <c r="B10" s="131">
        <v>20000</v>
      </c>
      <c r="C10" s="132">
        <f t="shared" si="0"/>
        <v>0</v>
      </c>
      <c r="D10" s="133" t="s">
        <v>13</v>
      </c>
      <c r="E10" s="134">
        <f t="shared" si="37"/>
        <v>0</v>
      </c>
      <c r="F10" s="135">
        <v>0</v>
      </c>
      <c r="G10" s="135"/>
      <c r="H10" s="136"/>
      <c r="I10" s="137">
        <v>0</v>
      </c>
      <c r="J10" s="228">
        <f t="shared" si="38"/>
        <v>0</v>
      </c>
      <c r="K10" s="226">
        <f t="shared" si="39"/>
        <v>0</v>
      </c>
      <c r="L10" s="24"/>
      <c r="M10" s="84" t="s">
        <v>45</v>
      </c>
      <c r="N10" s="66" t="s">
        <v>43</v>
      </c>
      <c r="O10" s="120"/>
      <c r="P10" s="96">
        <v>1.5</v>
      </c>
      <c r="Q10" s="234">
        <f t="shared" si="40"/>
        <v>0</v>
      </c>
      <c r="R10" s="234">
        <f t="shared" si="41"/>
        <v>1.5</v>
      </c>
      <c r="S10" s="66"/>
      <c r="T10" s="68">
        <f>SUM(AT5:AT41)</f>
        <v>1.5000000000000027</v>
      </c>
      <c r="U10" s="41"/>
      <c r="V10" s="113"/>
      <c r="W10" s="120">
        <v>1.5</v>
      </c>
      <c r="X10" s="250"/>
      <c r="Y10" s="120">
        <v>1.5</v>
      </c>
      <c r="Z10" s="250"/>
      <c r="AA10" s="120">
        <v>1.5</v>
      </c>
      <c r="AB10" s="250"/>
      <c r="AC10" s="120">
        <v>2</v>
      </c>
      <c r="AD10" s="250"/>
      <c r="AE10" s="120">
        <v>2</v>
      </c>
      <c r="AF10" s="116"/>
      <c r="AG10" s="24"/>
      <c r="AH10" s="60" t="s">
        <v>13</v>
      </c>
      <c r="AI10" s="21">
        <v>4300</v>
      </c>
      <c r="AJ10" s="6">
        <f t="shared" si="1"/>
        <v>0</v>
      </c>
      <c r="AK10" s="10">
        <v>89.11</v>
      </c>
      <c r="AL10" s="7">
        <f t="shared" si="2"/>
        <v>0</v>
      </c>
      <c r="AM10" s="10">
        <v>1.3</v>
      </c>
      <c r="AN10" s="13">
        <f t="shared" si="3"/>
        <v>0</v>
      </c>
      <c r="AO10" s="10">
        <v>1.3</v>
      </c>
      <c r="AP10" s="14">
        <f t="shared" si="4"/>
        <v>0</v>
      </c>
      <c r="AQ10" s="10">
        <v>0</v>
      </c>
      <c r="AR10" s="14">
        <f t="shared" si="5"/>
        <v>0</v>
      </c>
      <c r="AS10" s="10">
        <v>0</v>
      </c>
      <c r="AT10" s="14">
        <f t="shared" si="6"/>
        <v>0</v>
      </c>
      <c r="AU10" s="10">
        <v>2.1219999999999999</v>
      </c>
      <c r="AV10" s="14">
        <f t="shared" si="7"/>
        <v>0</v>
      </c>
      <c r="AW10" s="10">
        <f>AK10*0.0874</f>
        <v>7.7882140000000009</v>
      </c>
      <c r="AX10" s="17">
        <f t="shared" si="8"/>
        <v>0</v>
      </c>
      <c r="AY10" s="10">
        <f>AK10*0.011</f>
        <v>0.98020999999999991</v>
      </c>
      <c r="AZ10" s="17">
        <f t="shared" si="9"/>
        <v>0</v>
      </c>
      <c r="BA10" s="10">
        <f>AK10*0.0208</f>
        <v>1.8534879999999998</v>
      </c>
      <c r="BB10" s="17">
        <f t="shared" si="10"/>
        <v>0</v>
      </c>
      <c r="BC10" s="10">
        <f>AK10*0.0421</f>
        <v>3.7515309999999999</v>
      </c>
      <c r="BD10" s="17">
        <f t="shared" si="11"/>
        <v>0</v>
      </c>
      <c r="BE10" s="10">
        <f>AK10*0.02-0.297</f>
        <v>1.4852000000000001</v>
      </c>
      <c r="BF10" s="17">
        <f t="shared" si="12"/>
        <v>0</v>
      </c>
      <c r="BG10" s="10">
        <f>AK10*0.0438</f>
        <v>3.9030179999999999</v>
      </c>
      <c r="BH10" s="17">
        <f t="shared" si="13"/>
        <v>0</v>
      </c>
      <c r="BI10" s="10">
        <f>AK10*0.0153</f>
        <v>1.363383</v>
      </c>
      <c r="BJ10" s="17">
        <f t="shared" si="14"/>
        <v>0</v>
      </c>
      <c r="BK10" s="10">
        <f>AK10*0.211-7.785</f>
        <v>11.017209999999999</v>
      </c>
      <c r="BL10" s="17">
        <f t="shared" si="15"/>
        <v>0</v>
      </c>
      <c r="BM10" s="10">
        <f>AK10*0.141-5.304</f>
        <v>7.2605099999999982</v>
      </c>
      <c r="BN10" s="17">
        <f t="shared" si="16"/>
        <v>0</v>
      </c>
      <c r="BO10" s="10">
        <v>0.24</v>
      </c>
      <c r="BP10" s="17">
        <f t="shared" si="17"/>
        <v>0</v>
      </c>
      <c r="BQ10" s="10">
        <v>0.34749999999999998</v>
      </c>
      <c r="BR10" s="17">
        <f t="shared" si="18"/>
        <v>0</v>
      </c>
      <c r="BS10" s="10">
        <f>BQ10*0.82</f>
        <v>0.28494999999999998</v>
      </c>
      <c r="BT10" s="17">
        <f t="shared" si="19"/>
        <v>0</v>
      </c>
      <c r="BU10" s="12">
        <v>0.03</v>
      </c>
      <c r="BV10" s="18">
        <f t="shared" si="20"/>
        <v>0</v>
      </c>
      <c r="BW10" s="10">
        <v>0.47</v>
      </c>
      <c r="BX10" s="17">
        <f t="shared" si="21"/>
        <v>0</v>
      </c>
      <c r="BY10" s="10">
        <v>0.23</v>
      </c>
      <c r="BZ10" s="17">
        <f t="shared" si="22"/>
        <v>0</v>
      </c>
      <c r="CA10" s="10">
        <v>0.45</v>
      </c>
      <c r="CB10" s="17">
        <f t="shared" si="23"/>
        <v>0</v>
      </c>
      <c r="CC10" s="10">
        <v>0.78</v>
      </c>
      <c r="CD10" s="14">
        <f t="shared" si="24"/>
        <v>0</v>
      </c>
      <c r="CE10" s="21">
        <f t="shared" si="25"/>
        <v>136.42999999999998</v>
      </c>
      <c r="CF10" s="14">
        <f t="shared" si="26"/>
        <v>0</v>
      </c>
      <c r="CG10" s="10">
        <v>0.69299999999999995</v>
      </c>
      <c r="CH10" s="17">
        <f t="shared" si="27"/>
        <v>0</v>
      </c>
      <c r="CI10" s="10">
        <f>AO10*0.01</f>
        <v>1.3000000000000001E-2</v>
      </c>
      <c r="CJ10" s="14">
        <f t="shared" si="28"/>
        <v>0</v>
      </c>
      <c r="CK10" s="10">
        <v>0</v>
      </c>
      <c r="CL10" s="14">
        <f t="shared" si="29"/>
        <v>0</v>
      </c>
      <c r="CM10" s="10">
        <v>0</v>
      </c>
      <c r="CN10" s="14">
        <f t="shared" si="30"/>
        <v>0</v>
      </c>
      <c r="CO10" s="10">
        <v>0</v>
      </c>
      <c r="CP10" s="14">
        <f t="shared" si="31"/>
        <v>0</v>
      </c>
      <c r="CQ10" s="10">
        <v>0</v>
      </c>
      <c r="CR10" s="14">
        <f t="shared" si="32"/>
        <v>0</v>
      </c>
      <c r="CS10" s="10">
        <v>0</v>
      </c>
      <c r="CT10" s="14">
        <f t="shared" si="33"/>
        <v>0</v>
      </c>
      <c r="CU10" s="10">
        <f t="shared" si="34"/>
        <v>0.25900000000000034</v>
      </c>
      <c r="CV10" s="14">
        <f t="shared" si="35"/>
        <v>0</v>
      </c>
      <c r="CW10" s="11">
        <v>92.790999999999997</v>
      </c>
      <c r="CX10" s="20">
        <f t="shared" si="36"/>
        <v>0</v>
      </c>
      <c r="DC10" s="140"/>
      <c r="DD10" s="140"/>
      <c r="DE10" s="140"/>
      <c r="DF10" s="140"/>
      <c r="DG10" s="140"/>
      <c r="DH10" s="140"/>
      <c r="DI10" s="140"/>
      <c r="DJ10" s="140"/>
      <c r="DK10" s="140"/>
      <c r="DL10" s="140"/>
      <c r="DM10" s="140"/>
      <c r="DN10" s="140"/>
      <c r="DO10" s="140"/>
      <c r="DP10" s="140"/>
      <c r="DQ10" s="140"/>
      <c r="DR10" s="140"/>
      <c r="DS10" s="140"/>
      <c r="DT10" s="140"/>
      <c r="DU10" s="140"/>
      <c r="DV10" s="140"/>
      <c r="DW10" s="140"/>
      <c r="DX10" s="140"/>
      <c r="DY10" s="140"/>
      <c r="DZ10" s="140"/>
      <c r="EA10" s="140"/>
      <c r="EB10" s="140"/>
      <c r="EC10" s="140"/>
      <c r="ED10" s="140"/>
      <c r="EE10" s="140"/>
      <c r="EF10" s="140"/>
      <c r="EG10" s="140"/>
      <c r="EH10" s="140"/>
      <c r="EI10" s="140"/>
      <c r="EJ10" s="140"/>
      <c r="EK10" s="140"/>
      <c r="EL10" s="140"/>
      <c r="EM10" s="140"/>
      <c r="EN10" s="140"/>
      <c r="EO10" s="140"/>
      <c r="EP10" s="140"/>
      <c r="EQ10" s="140"/>
      <c r="ER10" s="140"/>
      <c r="ES10" s="140"/>
      <c r="ET10" s="140"/>
      <c r="EU10" s="140"/>
      <c r="EV10" s="140"/>
      <c r="EW10" s="140"/>
      <c r="EX10" s="140"/>
    </row>
    <row r="11" spans="1:154" s="1" customFormat="1" x14ac:dyDescent="0.3">
      <c r="A11" s="34"/>
      <c r="B11" s="61">
        <v>18000</v>
      </c>
      <c r="C11" s="56">
        <f t="shared" si="0"/>
        <v>2234.327785981086</v>
      </c>
      <c r="D11" s="76" t="s">
        <v>14</v>
      </c>
      <c r="E11" s="77">
        <f t="shared" si="37"/>
        <v>124.12932144339366</v>
      </c>
      <c r="F11" s="86">
        <v>12.412932144339367</v>
      </c>
      <c r="G11" s="86"/>
      <c r="H11" s="98"/>
      <c r="I11" s="99"/>
      <c r="J11" s="228">
        <f t="shared" si="38"/>
        <v>0</v>
      </c>
      <c r="K11" s="226">
        <f t="shared" si="39"/>
        <v>100</v>
      </c>
      <c r="L11" s="24"/>
      <c r="M11" s="83" t="s">
        <v>79</v>
      </c>
      <c r="N11" s="65" t="s">
        <v>43</v>
      </c>
      <c r="O11" s="121"/>
      <c r="P11" s="95"/>
      <c r="Q11" s="233">
        <f t="shared" si="40"/>
        <v>0</v>
      </c>
      <c r="R11" s="233">
        <f t="shared" si="41"/>
        <v>1000</v>
      </c>
      <c r="S11" s="65"/>
      <c r="T11" s="69">
        <f>SUM(AV5:AV41)</f>
        <v>5.7469311901507893</v>
      </c>
      <c r="U11" s="41"/>
      <c r="V11" s="113"/>
      <c r="W11" s="121"/>
      <c r="X11" s="250"/>
      <c r="Y11" s="121"/>
      <c r="Z11" s="250"/>
      <c r="AA11" s="121"/>
      <c r="AB11" s="250"/>
      <c r="AC11" s="121"/>
      <c r="AD11" s="250"/>
      <c r="AE11" s="121"/>
      <c r="AF11" s="116"/>
      <c r="AG11" s="24"/>
      <c r="AH11" s="59" t="s">
        <v>14</v>
      </c>
      <c r="AI11" s="31">
        <v>3260</v>
      </c>
      <c r="AJ11" s="25">
        <f t="shared" si="1"/>
        <v>404.66158790546336</v>
      </c>
      <c r="AK11" s="26">
        <v>55.728999999999999</v>
      </c>
      <c r="AL11" s="27">
        <f t="shared" si="2"/>
        <v>6.9176029547188849</v>
      </c>
      <c r="AM11" s="26">
        <v>19.89</v>
      </c>
      <c r="AN11" s="28">
        <f t="shared" si="3"/>
        <v>2.4689322035090999</v>
      </c>
      <c r="AO11" s="26">
        <v>19.89</v>
      </c>
      <c r="AP11" s="29">
        <f t="shared" si="4"/>
        <v>2.4689322035090999</v>
      </c>
      <c r="AQ11" s="26">
        <v>0</v>
      </c>
      <c r="AR11" s="29">
        <f t="shared" si="5"/>
        <v>0</v>
      </c>
      <c r="AS11" s="35">
        <v>0</v>
      </c>
      <c r="AT11" s="29">
        <f t="shared" si="6"/>
        <v>0</v>
      </c>
      <c r="AU11" s="26">
        <v>8.5510000000000002</v>
      </c>
      <c r="AV11" s="29">
        <f t="shared" si="7"/>
        <v>1.0614298276624592</v>
      </c>
      <c r="AW11" s="26">
        <f>AK11*0.040106</f>
        <v>2.2350672739999999</v>
      </c>
      <c r="AX11" s="30">
        <f t="shared" si="8"/>
        <v>0.27743738410195562</v>
      </c>
      <c r="AY11" s="26">
        <f>AK11*0.012191</f>
        <v>0.67939223900000001</v>
      </c>
      <c r="AZ11" s="30">
        <f t="shared" si="9"/>
        <v>8.4332497620977942E-2</v>
      </c>
      <c r="BA11" s="26">
        <f>AK11*0.052-0.273</f>
        <v>2.6249079999999996</v>
      </c>
      <c r="BB11" s="30">
        <f t="shared" si="10"/>
        <v>0.32582804889133549</v>
      </c>
      <c r="BC11" s="26">
        <f>AK11*0.05-0.341</f>
        <v>2.4454500000000001</v>
      </c>
      <c r="BD11" s="30">
        <f t="shared" si="11"/>
        <v>0.30355204912374706</v>
      </c>
      <c r="BE11" s="26">
        <f>AK11*0.009187</f>
        <v>0.51198232300000002</v>
      </c>
      <c r="BF11" s="30">
        <f t="shared" si="12"/>
        <v>6.3552018345002403E-2</v>
      </c>
      <c r="BG11" s="26">
        <f>AK11*0.07-0.345</f>
        <v>3.5560300000000007</v>
      </c>
      <c r="BH11" s="30">
        <f t="shared" si="13"/>
        <v>0.44140759093235132</v>
      </c>
      <c r="BI11" s="26">
        <f>AK11*0.051-0.419</f>
        <v>2.4231789999999997</v>
      </c>
      <c r="BJ11" s="30">
        <f t="shared" si="14"/>
        <v>0.30078756500588116</v>
      </c>
      <c r="BK11" s="26">
        <f>AK11*0.091-0.751</f>
        <v>4.3203389999999997</v>
      </c>
      <c r="BL11" s="30">
        <f t="shared" si="15"/>
        <v>0.53628074847542984</v>
      </c>
      <c r="BM11" s="26">
        <f>AK11*0.081-1.116</f>
        <v>3.3980489999999999</v>
      </c>
      <c r="BN11" s="30">
        <f t="shared" si="16"/>
        <v>0.42179751660140241</v>
      </c>
      <c r="BO11" s="26">
        <v>3.98</v>
      </c>
      <c r="BP11" s="30">
        <f t="shared" si="17"/>
        <v>0.49403469934470684</v>
      </c>
      <c r="BQ11" s="26">
        <v>1.3512999999999999</v>
      </c>
      <c r="BR11" s="30">
        <f t="shared" si="18"/>
        <v>0.16773595206645786</v>
      </c>
      <c r="BS11" s="26">
        <f>BQ11*0.9</f>
        <v>1.21617</v>
      </c>
      <c r="BT11" s="30">
        <f t="shared" si="19"/>
        <v>0.15096235685981207</v>
      </c>
      <c r="BU11" s="26">
        <v>0.08</v>
      </c>
      <c r="BV11" s="30">
        <f t="shared" si="20"/>
        <v>9.9303457154714947E-3</v>
      </c>
      <c r="BW11" s="26">
        <v>0.39</v>
      </c>
      <c r="BX11" s="30">
        <f t="shared" si="21"/>
        <v>4.8410435362923533E-2</v>
      </c>
      <c r="BY11" s="26">
        <v>0.53</v>
      </c>
      <c r="BZ11" s="30">
        <f t="shared" si="22"/>
        <v>6.5788540364998649E-2</v>
      </c>
      <c r="CA11" s="26">
        <v>0.51</v>
      </c>
      <c r="CB11" s="30">
        <f t="shared" si="23"/>
        <v>6.3305953936130768E-2</v>
      </c>
      <c r="CC11" s="26">
        <v>0.5</v>
      </c>
      <c r="CD11" s="29">
        <f t="shared" si="24"/>
        <v>6.2064660721696835E-2</v>
      </c>
      <c r="CE11" s="31">
        <f t="shared" si="25"/>
        <v>161.51000000000005</v>
      </c>
      <c r="CF11" s="29">
        <f t="shared" si="26"/>
        <v>20.048126706322517</v>
      </c>
      <c r="CG11" s="26">
        <v>6.0289999999999999</v>
      </c>
      <c r="CH11" s="30">
        <f t="shared" si="27"/>
        <v>0.74837567898222035</v>
      </c>
      <c r="CI11" s="26">
        <f>AO11*0.0131</f>
        <v>0.26055900000000004</v>
      </c>
      <c r="CJ11" s="29">
        <f t="shared" si="28"/>
        <v>3.2343011865969218E-2</v>
      </c>
      <c r="CK11" s="26">
        <v>0</v>
      </c>
      <c r="CL11" s="29">
        <f t="shared" si="29"/>
        <v>0</v>
      </c>
      <c r="CM11" s="26">
        <v>0</v>
      </c>
      <c r="CN11" s="29">
        <f t="shared" si="30"/>
        <v>0</v>
      </c>
      <c r="CO11" s="26">
        <v>0</v>
      </c>
      <c r="CP11" s="29">
        <f t="shared" si="31"/>
        <v>0</v>
      </c>
      <c r="CQ11" s="26">
        <v>0</v>
      </c>
      <c r="CR11" s="29">
        <f t="shared" si="32"/>
        <v>0</v>
      </c>
      <c r="CS11" s="26">
        <v>0</v>
      </c>
      <c r="CT11" s="29">
        <f t="shared" si="33"/>
        <v>0</v>
      </c>
      <c r="CU11" s="26">
        <f t="shared" si="34"/>
        <v>7.5279999999999916</v>
      </c>
      <c r="CV11" s="29">
        <f t="shared" si="35"/>
        <v>0.93444553182586654</v>
      </c>
      <c r="CW11" s="32">
        <v>91.697999999999993</v>
      </c>
      <c r="CX11" s="33">
        <f t="shared" si="36"/>
        <v>11.382410517716311</v>
      </c>
      <c r="CY11" s="34"/>
      <c r="CZ11" s="34"/>
      <c r="DA11" s="34"/>
      <c r="DB11" s="34"/>
      <c r="DC11" s="140"/>
      <c r="DD11" s="140"/>
      <c r="DE11" s="140"/>
      <c r="DF11" s="140"/>
      <c r="DG11" s="140"/>
      <c r="DH11" s="140"/>
      <c r="DI11" s="140"/>
      <c r="DJ11" s="140"/>
      <c r="DK11" s="140"/>
      <c r="DL11" s="140"/>
      <c r="DM11" s="140"/>
      <c r="DN11" s="140"/>
      <c r="DO11" s="140"/>
      <c r="DP11" s="140"/>
      <c r="DQ11" s="140"/>
      <c r="DR11" s="140"/>
      <c r="DS11" s="140"/>
      <c r="DT11" s="140"/>
      <c r="DU11" s="140"/>
      <c r="DV11" s="140"/>
      <c r="DW11" s="140"/>
      <c r="DX11" s="140"/>
      <c r="DY11" s="140"/>
      <c r="DZ11" s="140"/>
      <c r="EA11" s="140"/>
      <c r="EB11" s="140"/>
      <c r="EC11" s="140"/>
      <c r="ED11" s="140"/>
      <c r="EE11" s="140"/>
      <c r="EF11" s="140"/>
      <c r="EG11" s="140"/>
      <c r="EH11" s="140"/>
      <c r="EI11" s="140"/>
      <c r="EJ11" s="140"/>
      <c r="EK11" s="140"/>
      <c r="EL11" s="140"/>
      <c r="EM11" s="140"/>
      <c r="EN11" s="140"/>
      <c r="EO11" s="140"/>
      <c r="EP11" s="140"/>
      <c r="EQ11" s="140"/>
      <c r="ER11" s="140"/>
      <c r="ES11" s="140"/>
      <c r="ET11" s="140"/>
      <c r="EU11" s="140"/>
      <c r="EV11" s="140"/>
      <c r="EW11" s="140"/>
      <c r="EX11" s="140"/>
    </row>
    <row r="12" spans="1:154" s="34" customFormat="1" x14ac:dyDescent="0.3">
      <c r="B12" s="62">
        <v>15000</v>
      </c>
      <c r="C12" s="55">
        <f t="shared" si="0"/>
        <v>0</v>
      </c>
      <c r="D12" s="78" t="s">
        <v>15</v>
      </c>
      <c r="E12" s="79">
        <f t="shared" si="37"/>
        <v>0</v>
      </c>
      <c r="F12" s="87">
        <v>0</v>
      </c>
      <c r="G12" s="87"/>
      <c r="H12" s="100"/>
      <c r="I12" s="101"/>
      <c r="J12" s="228">
        <f t="shared" si="38"/>
        <v>0</v>
      </c>
      <c r="K12" s="226">
        <f t="shared" si="39"/>
        <v>100</v>
      </c>
      <c r="L12" s="24"/>
      <c r="M12" s="84" t="s">
        <v>47</v>
      </c>
      <c r="N12" s="66" t="s">
        <v>43</v>
      </c>
      <c r="O12" s="120">
        <v>1.9</v>
      </c>
      <c r="P12" s="96"/>
      <c r="Q12" s="234">
        <f t="shared" si="40"/>
        <v>1.9</v>
      </c>
      <c r="R12" s="234">
        <f t="shared" si="41"/>
        <v>1000</v>
      </c>
      <c r="S12" s="66"/>
      <c r="T12" s="68">
        <f>SUM(AX5:AX41)</f>
        <v>1.9000000000000079</v>
      </c>
      <c r="U12" s="41"/>
      <c r="V12" s="113"/>
      <c r="W12" s="120">
        <v>1.9</v>
      </c>
      <c r="X12" s="250"/>
      <c r="Y12" s="120">
        <v>1.9</v>
      </c>
      <c r="Z12" s="250"/>
      <c r="AA12" s="120">
        <v>1.9</v>
      </c>
      <c r="AB12" s="250"/>
      <c r="AC12" s="120">
        <v>1.9</v>
      </c>
      <c r="AD12" s="250"/>
      <c r="AE12" s="120">
        <v>1.9</v>
      </c>
      <c r="AF12" s="116"/>
      <c r="AG12" s="24"/>
      <c r="AH12" s="60" t="s">
        <v>15</v>
      </c>
      <c r="AI12" s="21">
        <v>1580</v>
      </c>
      <c r="AJ12" s="6">
        <f t="shared" si="1"/>
        <v>0</v>
      </c>
      <c r="AK12" s="10">
        <v>27</v>
      </c>
      <c r="AL12" s="7">
        <f t="shared" si="2"/>
        <v>0</v>
      </c>
      <c r="AM12" s="10">
        <v>3</v>
      </c>
      <c r="AN12" s="13">
        <f t="shared" si="3"/>
        <v>0</v>
      </c>
      <c r="AO12" s="10">
        <v>3</v>
      </c>
      <c r="AP12" s="14">
        <f t="shared" si="4"/>
        <v>0</v>
      </c>
      <c r="AQ12" s="10">
        <v>0</v>
      </c>
      <c r="AR12" s="14">
        <f t="shared" si="5"/>
        <v>0</v>
      </c>
      <c r="AS12" s="10">
        <v>2.25</v>
      </c>
      <c r="AT12" s="14">
        <f t="shared" si="6"/>
        <v>0</v>
      </c>
      <c r="AU12" s="10">
        <v>36.75</v>
      </c>
      <c r="AV12" s="14">
        <f t="shared" si="7"/>
        <v>0</v>
      </c>
      <c r="AW12" s="10">
        <f>AK12*0.041-0.06</f>
        <v>1.0469999999999999</v>
      </c>
      <c r="AX12" s="17">
        <f t="shared" si="8"/>
        <v>0</v>
      </c>
      <c r="AY12" s="10">
        <f>AK12*0.01-0.032</f>
        <v>0.23800000000000002</v>
      </c>
      <c r="AZ12" s="17">
        <f t="shared" si="9"/>
        <v>0</v>
      </c>
      <c r="BA12" s="10">
        <f>AK12*0.019-0.154</f>
        <v>0.35899999999999999</v>
      </c>
      <c r="BB12" s="17">
        <f t="shared" si="10"/>
        <v>0</v>
      </c>
      <c r="BC12" s="10">
        <f>AK12*0.036-0.319</f>
        <v>0.65300000000000002</v>
      </c>
      <c r="BD12" s="17">
        <f t="shared" si="11"/>
        <v>0</v>
      </c>
      <c r="BE12" s="10">
        <f>AK12*0.008</f>
        <v>0.216</v>
      </c>
      <c r="BF12" s="17">
        <f t="shared" si="12"/>
        <v>0</v>
      </c>
      <c r="BG12" s="10">
        <f>AK12*0.082-0.278</f>
        <v>1.9359999999999999</v>
      </c>
      <c r="BH12" s="17">
        <f t="shared" si="13"/>
        <v>0</v>
      </c>
      <c r="BI12" s="10">
        <f>AK12*0.025-0.189</f>
        <v>0.48600000000000004</v>
      </c>
      <c r="BJ12" s="17">
        <f t="shared" si="14"/>
        <v>0</v>
      </c>
      <c r="BK12" s="10">
        <f>AK12*0.065-0.611</f>
        <v>1.1440000000000001</v>
      </c>
      <c r="BL12" s="17">
        <f t="shared" si="15"/>
        <v>0</v>
      </c>
      <c r="BM12" s="10">
        <f>AK12*0.043-0.329</f>
        <v>0.83199999999999985</v>
      </c>
      <c r="BN12" s="17">
        <f t="shared" si="16"/>
        <v>0</v>
      </c>
      <c r="BO12" s="10">
        <v>16.5</v>
      </c>
      <c r="BP12" s="17">
        <f t="shared" si="17"/>
        <v>0</v>
      </c>
      <c r="BQ12" s="10">
        <v>7.5</v>
      </c>
      <c r="BR12" s="17">
        <f t="shared" si="18"/>
        <v>0</v>
      </c>
      <c r="BS12" s="10">
        <f>BQ12*1</f>
        <v>7.5</v>
      </c>
      <c r="BT12" s="17">
        <f t="shared" si="19"/>
        <v>0</v>
      </c>
      <c r="BU12" s="12">
        <v>0.4</v>
      </c>
      <c r="BV12" s="18">
        <f t="shared" si="20"/>
        <v>0</v>
      </c>
      <c r="BW12" s="10">
        <v>0.5</v>
      </c>
      <c r="BX12" s="17">
        <f t="shared" si="21"/>
        <v>0</v>
      </c>
      <c r="BY12" s="10">
        <v>0</v>
      </c>
      <c r="BZ12" s="17">
        <f t="shared" si="22"/>
        <v>0</v>
      </c>
      <c r="CA12" s="10">
        <v>0</v>
      </c>
      <c r="CB12" s="17">
        <f t="shared" si="23"/>
        <v>0</v>
      </c>
      <c r="CC12" s="10">
        <v>0</v>
      </c>
      <c r="CD12" s="14">
        <f t="shared" si="24"/>
        <v>0</v>
      </c>
      <c r="CE12" s="21">
        <f t="shared" si="25"/>
        <v>217.5</v>
      </c>
      <c r="CF12" s="14">
        <f t="shared" si="26"/>
        <v>0</v>
      </c>
      <c r="CG12" s="10">
        <v>0</v>
      </c>
      <c r="CH12" s="17">
        <f t="shared" si="27"/>
        <v>0</v>
      </c>
      <c r="CI12" s="10">
        <f>AO12*0.013</f>
        <v>3.9E-2</v>
      </c>
      <c r="CJ12" s="14">
        <f t="shared" si="28"/>
        <v>0</v>
      </c>
      <c r="CK12" s="10">
        <v>0</v>
      </c>
      <c r="CL12" s="14">
        <f t="shared" si="29"/>
        <v>0</v>
      </c>
      <c r="CM12" s="10">
        <v>0</v>
      </c>
      <c r="CN12" s="14">
        <f t="shared" si="30"/>
        <v>0</v>
      </c>
      <c r="CO12" s="10">
        <v>0</v>
      </c>
      <c r="CP12" s="14">
        <f t="shared" si="31"/>
        <v>0</v>
      </c>
      <c r="CQ12" s="10">
        <v>0</v>
      </c>
      <c r="CR12" s="14">
        <f t="shared" si="32"/>
        <v>0</v>
      </c>
      <c r="CS12" s="10">
        <v>0</v>
      </c>
      <c r="CT12" s="14">
        <f t="shared" si="33"/>
        <v>0</v>
      </c>
      <c r="CU12" s="10">
        <f t="shared" si="34"/>
        <v>22</v>
      </c>
      <c r="CV12" s="14">
        <f t="shared" si="35"/>
        <v>0</v>
      </c>
      <c r="CW12" s="11">
        <v>91</v>
      </c>
      <c r="CX12" s="20">
        <f t="shared" si="36"/>
        <v>0</v>
      </c>
      <c r="DC12" s="140"/>
      <c r="DD12" s="140"/>
      <c r="DE12" s="140"/>
      <c r="DF12" s="140"/>
      <c r="DG12" s="140"/>
      <c r="DH12" s="140"/>
      <c r="DI12" s="140"/>
      <c r="DJ12" s="140"/>
      <c r="DK12" s="140"/>
      <c r="DL12" s="140"/>
      <c r="DM12" s="140"/>
      <c r="DN12" s="140"/>
      <c r="DO12" s="140"/>
      <c r="DP12" s="140"/>
      <c r="DQ12" s="140"/>
      <c r="DR12" s="140"/>
      <c r="DS12" s="140"/>
      <c r="DT12" s="140"/>
      <c r="DU12" s="140"/>
      <c r="DV12" s="140"/>
      <c r="DW12" s="140"/>
      <c r="DX12" s="140"/>
      <c r="DY12" s="140"/>
      <c r="DZ12" s="140"/>
      <c r="EA12" s="140"/>
      <c r="EB12" s="140"/>
      <c r="EC12" s="140"/>
      <c r="ED12" s="140"/>
      <c r="EE12" s="140"/>
      <c r="EF12" s="140"/>
      <c r="EG12" s="140"/>
      <c r="EH12" s="140"/>
      <c r="EI12" s="140"/>
      <c r="EJ12" s="140"/>
      <c r="EK12" s="140"/>
      <c r="EL12" s="140"/>
      <c r="EM12" s="140"/>
      <c r="EN12" s="140"/>
      <c r="EO12" s="140"/>
      <c r="EP12" s="140"/>
      <c r="EQ12" s="140"/>
      <c r="ER12" s="140"/>
      <c r="ES12" s="140"/>
      <c r="ET12" s="140"/>
      <c r="EU12" s="140"/>
      <c r="EV12" s="140"/>
      <c r="EW12" s="140"/>
      <c r="EX12" s="140"/>
    </row>
    <row r="13" spans="1:154" s="1" customFormat="1" x14ac:dyDescent="0.3">
      <c r="A13" s="34"/>
      <c r="B13" s="61">
        <v>45000</v>
      </c>
      <c r="C13" s="56">
        <f t="shared" si="0"/>
        <v>3508.7222217184253</v>
      </c>
      <c r="D13" s="76" t="s">
        <v>142</v>
      </c>
      <c r="E13" s="77">
        <f t="shared" si="37"/>
        <v>77.971604927076115</v>
      </c>
      <c r="F13" s="86">
        <v>7.7971604927076115</v>
      </c>
      <c r="G13" s="86"/>
      <c r="H13" s="98"/>
      <c r="I13" s="99"/>
      <c r="J13" s="228">
        <f t="shared" si="38"/>
        <v>0</v>
      </c>
      <c r="K13" s="226">
        <f t="shared" si="39"/>
        <v>100</v>
      </c>
      <c r="L13" s="24"/>
      <c r="M13" s="83" t="s">
        <v>27</v>
      </c>
      <c r="N13" s="65" t="s">
        <v>43</v>
      </c>
      <c r="O13" s="121">
        <f>O12*0.4</f>
        <v>0.76</v>
      </c>
      <c r="P13" s="95"/>
      <c r="Q13" s="233">
        <f t="shared" si="40"/>
        <v>0.76</v>
      </c>
      <c r="R13" s="233">
        <f t="shared" si="41"/>
        <v>1000</v>
      </c>
      <c r="S13" s="65"/>
      <c r="T13" s="69">
        <f>SUM(AZ5:AZ41)</f>
        <v>0.88508440220349394</v>
      </c>
      <c r="U13" s="41"/>
      <c r="V13" s="113"/>
      <c r="W13" s="121">
        <f>W12*0.43</f>
        <v>0.81699999999999995</v>
      </c>
      <c r="X13" s="250"/>
      <c r="Y13" s="121">
        <f>Y12*0.42</f>
        <v>0.79799999999999993</v>
      </c>
      <c r="Z13" s="250"/>
      <c r="AA13" s="121">
        <f>AA12*0.41</f>
        <v>0.77899999999999991</v>
      </c>
      <c r="AB13" s="250"/>
      <c r="AC13" s="121">
        <f>AC12*0.4</f>
        <v>0.76</v>
      </c>
      <c r="AD13" s="250"/>
      <c r="AE13" s="121">
        <f>AE12*0.39</f>
        <v>0.74099999999999999</v>
      </c>
      <c r="AF13" s="116"/>
      <c r="AG13" s="24"/>
      <c r="AH13" s="59" t="s">
        <v>142</v>
      </c>
      <c r="AI13" s="31">
        <v>8800</v>
      </c>
      <c r="AJ13" s="25">
        <f t="shared" si="1"/>
        <v>686.15012335826987</v>
      </c>
      <c r="AK13" s="26">
        <v>0</v>
      </c>
      <c r="AL13" s="27">
        <f t="shared" si="2"/>
        <v>0</v>
      </c>
      <c r="AM13" s="26">
        <v>98</v>
      </c>
      <c r="AN13" s="28">
        <f t="shared" si="3"/>
        <v>7.641217282853459</v>
      </c>
      <c r="AO13" s="26">
        <v>0</v>
      </c>
      <c r="AP13" s="29">
        <f t="shared" si="4"/>
        <v>0</v>
      </c>
      <c r="AQ13" s="26">
        <v>0</v>
      </c>
      <c r="AR13" s="29">
        <f t="shared" si="5"/>
        <v>0</v>
      </c>
      <c r="AS13" s="26">
        <v>0</v>
      </c>
      <c r="AT13" s="29">
        <f t="shared" si="6"/>
        <v>0</v>
      </c>
      <c r="AU13" s="26">
        <v>0</v>
      </c>
      <c r="AV13" s="29">
        <f t="shared" si="7"/>
        <v>0</v>
      </c>
      <c r="AW13" s="26">
        <v>0</v>
      </c>
      <c r="AX13" s="30">
        <f t="shared" si="8"/>
        <v>0</v>
      </c>
      <c r="AY13" s="26">
        <v>0</v>
      </c>
      <c r="AZ13" s="30">
        <f t="shared" si="9"/>
        <v>0</v>
      </c>
      <c r="BA13" s="26">
        <v>0</v>
      </c>
      <c r="BB13" s="30">
        <f t="shared" si="10"/>
        <v>0</v>
      </c>
      <c r="BC13" s="26">
        <v>0</v>
      </c>
      <c r="BD13" s="30">
        <f t="shared" si="11"/>
        <v>0</v>
      </c>
      <c r="BE13" s="26">
        <v>0</v>
      </c>
      <c r="BF13" s="30">
        <f t="shared" si="12"/>
        <v>0</v>
      </c>
      <c r="BG13" s="26">
        <v>0</v>
      </c>
      <c r="BH13" s="30">
        <f t="shared" si="13"/>
        <v>0</v>
      </c>
      <c r="BI13" s="26">
        <v>0</v>
      </c>
      <c r="BJ13" s="30">
        <f t="shared" si="14"/>
        <v>0</v>
      </c>
      <c r="BK13" s="26">
        <v>0</v>
      </c>
      <c r="BL13" s="30">
        <f t="shared" si="15"/>
        <v>0</v>
      </c>
      <c r="BM13" s="26">
        <v>0</v>
      </c>
      <c r="BN13" s="30">
        <f t="shared" si="16"/>
        <v>0</v>
      </c>
      <c r="BO13" s="26">
        <v>0</v>
      </c>
      <c r="BP13" s="30">
        <f t="shared" si="17"/>
        <v>0</v>
      </c>
      <c r="BQ13" s="26">
        <v>0</v>
      </c>
      <c r="BR13" s="30">
        <f t="shared" si="18"/>
        <v>0</v>
      </c>
      <c r="BS13" s="26">
        <v>0</v>
      </c>
      <c r="BT13" s="30">
        <f t="shared" si="19"/>
        <v>0</v>
      </c>
      <c r="BU13" s="26">
        <v>0</v>
      </c>
      <c r="BV13" s="30">
        <f t="shared" si="20"/>
        <v>0</v>
      </c>
      <c r="BW13" s="26">
        <v>0</v>
      </c>
      <c r="BX13" s="30">
        <f t="shared" si="21"/>
        <v>0</v>
      </c>
      <c r="BY13" s="26">
        <v>0</v>
      </c>
      <c r="BZ13" s="30">
        <f t="shared" si="22"/>
        <v>0</v>
      </c>
      <c r="CA13" s="26">
        <v>0</v>
      </c>
      <c r="CB13" s="30">
        <f t="shared" si="23"/>
        <v>0</v>
      </c>
      <c r="CC13" s="26">
        <v>0</v>
      </c>
      <c r="CD13" s="29">
        <f t="shared" si="24"/>
        <v>0</v>
      </c>
      <c r="CE13" s="31">
        <v>0</v>
      </c>
      <c r="CF13" s="29">
        <f t="shared" si="26"/>
        <v>0</v>
      </c>
      <c r="CG13" s="26">
        <v>0</v>
      </c>
      <c r="CH13" s="30">
        <f t="shared" si="27"/>
        <v>0</v>
      </c>
      <c r="CI13" s="26">
        <v>0</v>
      </c>
      <c r="CJ13" s="29">
        <f t="shared" si="28"/>
        <v>0</v>
      </c>
      <c r="CK13" s="26">
        <v>0</v>
      </c>
      <c r="CL13" s="29">
        <f t="shared" si="29"/>
        <v>0</v>
      </c>
      <c r="CM13" s="26">
        <v>0</v>
      </c>
      <c r="CN13" s="29">
        <f t="shared" si="30"/>
        <v>0</v>
      </c>
      <c r="CO13" s="26">
        <v>0</v>
      </c>
      <c r="CP13" s="29">
        <f t="shared" si="31"/>
        <v>0</v>
      </c>
      <c r="CQ13" s="26">
        <v>0</v>
      </c>
      <c r="CR13" s="29">
        <f t="shared" si="32"/>
        <v>0</v>
      </c>
      <c r="CS13" s="26">
        <v>0</v>
      </c>
      <c r="CT13" s="29">
        <f t="shared" si="33"/>
        <v>0</v>
      </c>
      <c r="CU13" s="26">
        <v>0</v>
      </c>
      <c r="CV13" s="29">
        <f t="shared" si="35"/>
        <v>0</v>
      </c>
      <c r="CW13" s="32">
        <v>0</v>
      </c>
      <c r="CX13" s="33">
        <f t="shared" si="36"/>
        <v>0</v>
      </c>
      <c r="CY13" s="34"/>
      <c r="CZ13" s="34"/>
      <c r="DA13" s="34"/>
      <c r="DB13" s="34"/>
      <c r="DC13" s="140"/>
      <c r="DD13" s="140"/>
      <c r="DE13" s="140"/>
      <c r="DF13" s="140"/>
      <c r="DG13" s="140"/>
      <c r="DH13" s="140"/>
      <c r="DI13" s="140"/>
      <c r="DJ13" s="140"/>
      <c r="DK13" s="140"/>
      <c r="DL13" s="140"/>
      <c r="DM13" s="140"/>
      <c r="DN13" s="140"/>
      <c r="DO13" s="140"/>
      <c r="DP13" s="140"/>
      <c r="DQ13" s="140"/>
      <c r="DR13" s="140"/>
      <c r="DS13" s="140"/>
      <c r="DT13" s="140"/>
      <c r="DU13" s="140"/>
      <c r="DV13" s="140"/>
      <c r="DW13" s="140"/>
      <c r="DX13" s="140"/>
      <c r="DY13" s="140"/>
      <c r="DZ13" s="140"/>
      <c r="EA13" s="140"/>
      <c r="EB13" s="140"/>
      <c r="EC13" s="140"/>
      <c r="ED13" s="140"/>
      <c r="EE13" s="140"/>
      <c r="EF13" s="140"/>
      <c r="EG13" s="140"/>
      <c r="EH13" s="140"/>
      <c r="EI13" s="140"/>
      <c r="EJ13" s="140"/>
      <c r="EK13" s="140"/>
      <c r="EL13" s="140"/>
      <c r="EM13" s="140"/>
      <c r="EN13" s="140"/>
      <c r="EO13" s="140"/>
      <c r="EP13" s="140"/>
      <c r="EQ13" s="140"/>
      <c r="ER13" s="140"/>
      <c r="ES13" s="140"/>
      <c r="ET13" s="140"/>
      <c r="EU13" s="140"/>
      <c r="EV13" s="140"/>
      <c r="EW13" s="140"/>
      <c r="EX13" s="140"/>
    </row>
    <row r="14" spans="1:154" s="34" customFormat="1" x14ac:dyDescent="0.3">
      <c r="B14" s="62">
        <v>80000</v>
      </c>
      <c r="C14" s="55">
        <f t="shared" si="0"/>
        <v>966.49825678989066</v>
      </c>
      <c r="D14" s="78" t="s">
        <v>141</v>
      </c>
      <c r="E14" s="79"/>
      <c r="F14" s="87">
        <v>1.2081228209873633</v>
      </c>
      <c r="G14" s="87"/>
      <c r="H14" s="100"/>
      <c r="I14" s="101"/>
      <c r="J14" s="228">
        <f>IF((H14)="",0,(H14))</f>
        <v>0</v>
      </c>
      <c r="K14" s="226">
        <f t="shared" ref="K14" si="42">IF((I14)="",100,(I14))</f>
        <v>100</v>
      </c>
      <c r="L14" s="24"/>
      <c r="M14" s="84" t="s">
        <v>48</v>
      </c>
      <c r="N14" s="66" t="s">
        <v>43</v>
      </c>
      <c r="O14" s="120">
        <f>O12*0.57</f>
        <v>1.083</v>
      </c>
      <c r="P14" s="96"/>
      <c r="Q14" s="234">
        <f t="shared" si="40"/>
        <v>1.083</v>
      </c>
      <c r="R14" s="234">
        <f t="shared" si="41"/>
        <v>1000</v>
      </c>
      <c r="S14" s="66"/>
      <c r="T14" s="68">
        <f>SUM(BB5:BB41)</f>
        <v>1.7033756556039659</v>
      </c>
      <c r="U14" s="41"/>
      <c r="V14" s="113"/>
      <c r="W14" s="120">
        <f>W12*0.66</f>
        <v>1.254</v>
      </c>
      <c r="X14" s="250"/>
      <c r="Y14" s="120">
        <f>Y12*0.62</f>
        <v>1.1779999999999999</v>
      </c>
      <c r="Z14" s="250"/>
      <c r="AA14" s="120">
        <f>AA12*0.59</f>
        <v>1.121</v>
      </c>
      <c r="AB14" s="250"/>
      <c r="AC14" s="120">
        <f>AC12*0.57</f>
        <v>1.083</v>
      </c>
      <c r="AD14" s="250"/>
      <c r="AE14" s="120">
        <f>AE12*0.55</f>
        <v>1.0449999999999999</v>
      </c>
      <c r="AF14" s="116"/>
      <c r="AG14" s="24"/>
      <c r="AH14" s="60" t="s">
        <v>141</v>
      </c>
      <c r="AI14" s="21">
        <v>8800</v>
      </c>
      <c r="AJ14" s="6">
        <f t="shared" ref="AJ14" si="43">F14*AI14%</f>
        <v>106.31480824688798</v>
      </c>
      <c r="AK14" s="10">
        <v>0</v>
      </c>
      <c r="AL14" s="7">
        <f t="shared" ref="AL14" si="44">F14*AK14%</f>
        <v>0</v>
      </c>
      <c r="AM14" s="10">
        <v>98</v>
      </c>
      <c r="AN14" s="13">
        <f t="shared" ref="AN14" si="45">F14*AM14%</f>
        <v>1.183960364567616</v>
      </c>
      <c r="AO14" s="10">
        <v>0</v>
      </c>
      <c r="AP14" s="14">
        <f t="shared" ref="AP14" si="46">F14*AO14%</f>
        <v>0</v>
      </c>
      <c r="AQ14" s="10">
        <v>0</v>
      </c>
      <c r="AR14" s="14">
        <f t="shared" ref="AR14" si="47">F14*AQ14%</f>
        <v>0</v>
      </c>
      <c r="AS14" s="10">
        <v>0</v>
      </c>
      <c r="AT14" s="14">
        <f t="shared" ref="AT14" si="48">F14*AS14%</f>
        <v>0</v>
      </c>
      <c r="AU14" s="10">
        <v>0</v>
      </c>
      <c r="AV14" s="14">
        <f t="shared" ref="AV14" si="49">F14*AU14%</f>
        <v>0</v>
      </c>
      <c r="AW14" s="10">
        <v>0</v>
      </c>
      <c r="AX14" s="17">
        <f t="shared" ref="AX14" si="50">F14*AW14%</f>
        <v>0</v>
      </c>
      <c r="AY14" s="10">
        <v>0</v>
      </c>
      <c r="AZ14" s="17">
        <f t="shared" ref="AZ14" si="51">F14*AY14%</f>
        <v>0</v>
      </c>
      <c r="BA14" s="10">
        <v>0</v>
      </c>
      <c r="BB14" s="17">
        <f t="shared" ref="BB14" si="52">F14*BA14%</f>
        <v>0</v>
      </c>
      <c r="BC14" s="10">
        <v>0</v>
      </c>
      <c r="BD14" s="17">
        <f t="shared" ref="BD14" si="53">F14*BC14%</f>
        <v>0</v>
      </c>
      <c r="BE14" s="10">
        <v>0</v>
      </c>
      <c r="BF14" s="17">
        <f t="shared" ref="BF14" si="54">F14*BE14%</f>
        <v>0</v>
      </c>
      <c r="BG14" s="10">
        <v>0</v>
      </c>
      <c r="BH14" s="17">
        <f t="shared" ref="BH14" si="55">F14*BG14%</f>
        <v>0</v>
      </c>
      <c r="BI14" s="10">
        <v>0</v>
      </c>
      <c r="BJ14" s="17">
        <f t="shared" ref="BJ14" si="56">F14*BI14%</f>
        <v>0</v>
      </c>
      <c r="BK14" s="10">
        <v>0</v>
      </c>
      <c r="BL14" s="17">
        <f t="shared" ref="BL14" si="57">F14*BK14%</f>
        <v>0</v>
      </c>
      <c r="BM14" s="10">
        <v>0</v>
      </c>
      <c r="BN14" s="17">
        <f t="shared" ref="BN14" si="58">F14*BM14%</f>
        <v>0</v>
      </c>
      <c r="BO14" s="10">
        <v>0</v>
      </c>
      <c r="BP14" s="17">
        <f t="shared" ref="BP14" si="59">F14*BO14%</f>
        <v>0</v>
      </c>
      <c r="BQ14" s="10">
        <v>0</v>
      </c>
      <c r="BR14" s="17">
        <f t="shared" ref="BR14" si="60">F14*BQ14%</f>
        <v>0</v>
      </c>
      <c r="BS14" s="10">
        <v>0</v>
      </c>
      <c r="BT14" s="17">
        <f t="shared" ref="BT14" si="61">F14*BS14%</f>
        <v>0</v>
      </c>
      <c r="BU14" s="12">
        <v>0</v>
      </c>
      <c r="BV14" s="18">
        <f t="shared" ref="BV14" si="62">F14*BU14%</f>
        <v>0</v>
      </c>
      <c r="BW14" s="10">
        <v>0</v>
      </c>
      <c r="BX14" s="17">
        <f t="shared" ref="BX14" si="63">F14*BW14%</f>
        <v>0</v>
      </c>
      <c r="BY14" s="10">
        <v>0</v>
      </c>
      <c r="BZ14" s="17">
        <f t="shared" ref="BZ14" si="64">F14*BY14%</f>
        <v>0</v>
      </c>
      <c r="CA14" s="10">
        <v>0</v>
      </c>
      <c r="CB14" s="17">
        <f t="shared" ref="CB14" si="65">F14*CA14%</f>
        <v>0</v>
      </c>
      <c r="CC14" s="10">
        <v>0</v>
      </c>
      <c r="CD14" s="14">
        <f t="shared" ref="CD14" si="66">F14*CC14%</f>
        <v>0</v>
      </c>
      <c r="CE14" s="21">
        <v>0</v>
      </c>
      <c r="CF14" s="14">
        <f t="shared" ref="CF14" si="67">F14*CE14%</f>
        <v>0</v>
      </c>
      <c r="CG14" s="10">
        <v>0</v>
      </c>
      <c r="CH14" s="17">
        <f t="shared" ref="CH14" si="68">F14*CG14%</f>
        <v>0</v>
      </c>
      <c r="CI14" s="10">
        <v>0</v>
      </c>
      <c r="CJ14" s="14">
        <f t="shared" ref="CJ14" si="69">F14*CI14%</f>
        <v>0</v>
      </c>
      <c r="CK14" s="10">
        <v>0</v>
      </c>
      <c r="CL14" s="14">
        <f t="shared" ref="CL14" si="70">F14*CK14%</f>
        <v>0</v>
      </c>
      <c r="CM14" s="10">
        <v>34</v>
      </c>
      <c r="CN14" s="14">
        <f t="shared" ref="CN14" si="71">F14*CM14%</f>
        <v>0.41076175913570356</v>
      </c>
      <c r="CO14" s="10">
        <v>0</v>
      </c>
      <c r="CP14" s="14">
        <f t="shared" ref="CP14" si="72">F14*CO14%</f>
        <v>0</v>
      </c>
      <c r="CQ14" s="10">
        <v>0</v>
      </c>
      <c r="CR14" s="14">
        <f t="shared" ref="CR14" si="73">F14*CQ14%</f>
        <v>0</v>
      </c>
      <c r="CS14" s="10">
        <v>0</v>
      </c>
      <c r="CT14" s="14">
        <f t="shared" ref="CT14" si="74">F14*CS14%</f>
        <v>0</v>
      </c>
      <c r="CU14" s="10">
        <v>0</v>
      </c>
      <c r="CV14" s="14">
        <f t="shared" ref="CV14" si="75">F14*CU14%</f>
        <v>0</v>
      </c>
      <c r="CW14" s="11">
        <v>0</v>
      </c>
      <c r="CX14" s="20">
        <f t="shared" ref="CX14" si="76">F14*CW14%</f>
        <v>0</v>
      </c>
      <c r="DC14" s="140"/>
      <c r="DD14" s="140"/>
      <c r="DE14" s="140"/>
      <c r="DF14" s="140"/>
      <c r="DG14" s="140"/>
      <c r="DH14" s="140"/>
      <c r="DI14" s="140"/>
      <c r="DJ14" s="140"/>
      <c r="DK14" s="140"/>
      <c r="DL14" s="140"/>
      <c r="DM14" s="140"/>
      <c r="DN14" s="140"/>
      <c r="DO14" s="140"/>
      <c r="DP14" s="140"/>
      <c r="DQ14" s="140"/>
      <c r="DR14" s="140"/>
      <c r="DS14" s="140"/>
      <c r="DT14" s="140"/>
      <c r="DU14" s="140"/>
      <c r="DV14" s="140"/>
      <c r="DW14" s="140"/>
      <c r="DX14" s="140"/>
      <c r="DY14" s="140"/>
      <c r="DZ14" s="140"/>
      <c r="EA14" s="140"/>
      <c r="EB14" s="140"/>
      <c r="EC14" s="140"/>
      <c r="ED14" s="140"/>
      <c r="EE14" s="140"/>
      <c r="EF14" s="140"/>
      <c r="EG14" s="140"/>
      <c r="EH14" s="140"/>
      <c r="EI14" s="140"/>
      <c r="EJ14" s="140"/>
      <c r="EK14" s="140"/>
      <c r="EL14" s="140"/>
      <c r="EM14" s="140"/>
      <c r="EN14" s="140"/>
      <c r="EO14" s="140"/>
      <c r="EP14" s="140"/>
      <c r="EQ14" s="140"/>
      <c r="ER14" s="140"/>
      <c r="ES14" s="140"/>
      <c r="ET14" s="140"/>
      <c r="EU14" s="140"/>
      <c r="EV14" s="140"/>
      <c r="EW14" s="140"/>
      <c r="EX14" s="140"/>
    </row>
    <row r="15" spans="1:154" s="1" customFormat="1" x14ac:dyDescent="0.3">
      <c r="A15" s="34"/>
      <c r="B15" s="61">
        <v>12000</v>
      </c>
      <c r="C15" s="56">
        <f t="shared" si="0"/>
        <v>0</v>
      </c>
      <c r="D15" s="76" t="s">
        <v>16</v>
      </c>
      <c r="E15" s="77">
        <f t="shared" si="37"/>
        <v>0</v>
      </c>
      <c r="F15" s="86">
        <v>0</v>
      </c>
      <c r="G15" s="86"/>
      <c r="H15" s="98"/>
      <c r="I15" s="99">
        <v>0</v>
      </c>
      <c r="J15" s="228">
        <f t="shared" si="38"/>
        <v>0</v>
      </c>
      <c r="K15" s="226">
        <f t="shared" si="39"/>
        <v>0</v>
      </c>
      <c r="L15" s="24"/>
      <c r="M15" s="83" t="s">
        <v>30</v>
      </c>
      <c r="N15" s="65" t="s">
        <v>43</v>
      </c>
      <c r="O15" s="121">
        <f>O12*0.61</f>
        <v>1.159</v>
      </c>
      <c r="P15" s="95"/>
      <c r="Q15" s="233">
        <f t="shared" si="40"/>
        <v>1.159</v>
      </c>
      <c r="R15" s="233">
        <f t="shared" si="41"/>
        <v>1000</v>
      </c>
      <c r="S15" s="65"/>
      <c r="T15" s="69">
        <f>SUM(BD5:BD41)</f>
        <v>1.6318089988675499</v>
      </c>
      <c r="U15" s="41"/>
      <c r="V15" s="113"/>
      <c r="W15" s="121">
        <f>W12*0.68</f>
        <v>1.292</v>
      </c>
      <c r="X15" s="250"/>
      <c r="Y15" s="121">
        <f>Y12*0.65</f>
        <v>1.2349999999999999</v>
      </c>
      <c r="Z15" s="250"/>
      <c r="AA15" s="121">
        <f>AA12*0.63</f>
        <v>1.1969999999999998</v>
      </c>
      <c r="AB15" s="250"/>
      <c r="AC15" s="121">
        <f>AC12*0.61</f>
        <v>1.159</v>
      </c>
      <c r="AD15" s="250"/>
      <c r="AE15" s="121">
        <f>AE12*0.6</f>
        <v>1.1399999999999999</v>
      </c>
      <c r="AF15" s="116"/>
      <c r="AG15" s="24"/>
      <c r="AH15" s="59" t="s">
        <v>16</v>
      </c>
      <c r="AI15" s="31">
        <v>1500</v>
      </c>
      <c r="AJ15" s="25">
        <f t="shared" si="1"/>
        <v>0</v>
      </c>
      <c r="AK15" s="26">
        <v>7.42</v>
      </c>
      <c r="AL15" s="27">
        <f t="shared" si="2"/>
        <v>0</v>
      </c>
      <c r="AM15" s="26">
        <v>3.76</v>
      </c>
      <c r="AN15" s="28">
        <f t="shared" si="3"/>
        <v>0</v>
      </c>
      <c r="AO15" s="26">
        <v>3.76</v>
      </c>
      <c r="AP15" s="29">
        <f t="shared" si="4"/>
        <v>0</v>
      </c>
      <c r="AQ15" s="26">
        <v>63.442</v>
      </c>
      <c r="AR15" s="29">
        <f t="shared" si="5"/>
        <v>0</v>
      </c>
      <c r="AS15" s="26">
        <v>2.2930000000000001</v>
      </c>
      <c r="AT15" s="29">
        <f t="shared" si="6"/>
        <v>0</v>
      </c>
      <c r="AU15" s="26">
        <v>1.145</v>
      </c>
      <c r="AV15" s="29">
        <f t="shared" si="7"/>
        <v>0</v>
      </c>
      <c r="AW15" s="26">
        <f>AK15*0.0301</f>
        <v>0.22334199999999998</v>
      </c>
      <c r="AX15" s="30">
        <f t="shared" si="8"/>
        <v>0</v>
      </c>
      <c r="AY15" s="26">
        <f>AK15*0.014+0.063</f>
        <v>0.16688</v>
      </c>
      <c r="AZ15" s="30">
        <f t="shared" si="9"/>
        <v>0</v>
      </c>
      <c r="BA15" s="26">
        <f>AK15*0.03+0.104</f>
        <v>0.3266</v>
      </c>
      <c r="BB15" s="30">
        <f t="shared" si="10"/>
        <v>0</v>
      </c>
      <c r="BC15" s="26">
        <f>AK15*0.031+0.036</f>
        <v>0.26601999999999998</v>
      </c>
      <c r="BD15" s="30">
        <f t="shared" si="11"/>
        <v>0</v>
      </c>
      <c r="BE15" s="26">
        <f>AK15*0.0079</f>
        <v>5.8618000000000003E-2</v>
      </c>
      <c r="BF15" s="30">
        <f t="shared" si="12"/>
        <v>0</v>
      </c>
      <c r="BG15" s="26">
        <f>AK15*0.034+0.104</f>
        <v>0.35627999999999999</v>
      </c>
      <c r="BH15" s="30">
        <f t="shared" si="13"/>
        <v>0</v>
      </c>
      <c r="BI15" s="26">
        <f>AK15*0.035-0.009</f>
        <v>0.25070000000000003</v>
      </c>
      <c r="BJ15" s="30">
        <f t="shared" si="14"/>
        <v>0</v>
      </c>
      <c r="BK15" s="26">
        <f>AK15*0.144-0.191</f>
        <v>0.87747999999999982</v>
      </c>
      <c r="BL15" s="30">
        <f t="shared" si="15"/>
        <v>0</v>
      </c>
      <c r="BM15" s="26">
        <f>AK15*0.042+0.036</f>
        <v>0.34764</v>
      </c>
      <c r="BN15" s="30">
        <f t="shared" si="16"/>
        <v>0</v>
      </c>
      <c r="BO15" s="26">
        <v>0.02</v>
      </c>
      <c r="BP15" s="30">
        <f t="shared" si="17"/>
        <v>0</v>
      </c>
      <c r="BQ15" s="26">
        <v>0.22040000000000001</v>
      </c>
      <c r="BR15" s="30">
        <f t="shared" si="18"/>
        <v>0</v>
      </c>
      <c r="BS15" s="26">
        <f>BQ15*0.3077</f>
        <v>6.7817080000000002E-2</v>
      </c>
      <c r="BT15" s="30">
        <f t="shared" si="19"/>
        <v>0</v>
      </c>
      <c r="BU15" s="26">
        <v>0.09</v>
      </c>
      <c r="BV15" s="30">
        <f t="shared" si="20"/>
        <v>0</v>
      </c>
      <c r="BW15" s="26">
        <v>0.01</v>
      </c>
      <c r="BX15" s="30">
        <f t="shared" si="21"/>
        <v>0</v>
      </c>
      <c r="BY15" s="26">
        <v>0.32</v>
      </c>
      <c r="BZ15" s="30">
        <f t="shared" si="22"/>
        <v>0</v>
      </c>
      <c r="CA15" s="26">
        <v>0.05</v>
      </c>
      <c r="CB15" s="30">
        <f t="shared" si="23"/>
        <v>0</v>
      </c>
      <c r="CC15" s="26">
        <v>0.11</v>
      </c>
      <c r="CD15" s="29">
        <f t="shared" si="24"/>
        <v>0</v>
      </c>
      <c r="CE15" s="31">
        <f t="shared" si="25"/>
        <v>72.169999999999987</v>
      </c>
      <c r="CF15" s="29">
        <f t="shared" si="26"/>
        <v>0</v>
      </c>
      <c r="CG15" s="26">
        <v>0.53300000000000003</v>
      </c>
      <c r="CH15" s="30">
        <f t="shared" si="27"/>
        <v>0</v>
      </c>
      <c r="CI15" s="26">
        <f>AO15*0.4803</f>
        <v>1.805928</v>
      </c>
      <c r="CJ15" s="29">
        <f t="shared" si="28"/>
        <v>0</v>
      </c>
      <c r="CK15" s="26">
        <v>0</v>
      </c>
      <c r="CL15" s="29">
        <f t="shared" si="29"/>
        <v>0</v>
      </c>
      <c r="CM15" s="26">
        <v>0</v>
      </c>
      <c r="CN15" s="29">
        <f t="shared" si="30"/>
        <v>0</v>
      </c>
      <c r="CO15" s="26">
        <v>10.242000000000001</v>
      </c>
      <c r="CP15" s="29">
        <f t="shared" si="31"/>
        <v>0</v>
      </c>
      <c r="CQ15" s="26">
        <v>3.1019999999999999</v>
      </c>
      <c r="CR15" s="29">
        <f t="shared" si="32"/>
        <v>0</v>
      </c>
      <c r="CS15" s="26">
        <v>1.3140000000000001</v>
      </c>
      <c r="CT15" s="29">
        <f t="shared" si="33"/>
        <v>0</v>
      </c>
      <c r="CU15" s="26">
        <f t="shared" ref="CU15:CU25" si="77">CW15-(AK15+AO15+AS15+AU15)</f>
        <v>73.190000000000012</v>
      </c>
      <c r="CV15" s="29">
        <f t="shared" si="35"/>
        <v>0</v>
      </c>
      <c r="CW15" s="32">
        <v>87.808000000000007</v>
      </c>
      <c r="CX15" s="33">
        <f t="shared" si="36"/>
        <v>0</v>
      </c>
      <c r="CY15" s="34"/>
      <c r="CZ15" s="34"/>
      <c r="DA15" s="34"/>
      <c r="DB15" s="34"/>
      <c r="DC15" s="140"/>
      <c r="DD15" s="140"/>
      <c r="DE15" s="140"/>
      <c r="DF15" s="140"/>
      <c r="DG15" s="140"/>
      <c r="DH15" s="140"/>
      <c r="DI15" s="140"/>
      <c r="DJ15" s="140"/>
      <c r="DK15" s="140"/>
      <c r="DL15" s="140"/>
      <c r="DM15" s="140"/>
      <c r="DN15" s="140"/>
      <c r="DO15" s="140"/>
      <c r="DP15" s="140"/>
      <c r="DQ15" s="140"/>
      <c r="DR15" s="140"/>
      <c r="DS15" s="140"/>
      <c r="DT15" s="140"/>
      <c r="DU15" s="140"/>
      <c r="DV15" s="140"/>
      <c r="DW15" s="140"/>
      <c r="DX15" s="140"/>
      <c r="DY15" s="140"/>
      <c r="DZ15" s="140"/>
      <c r="EA15" s="140"/>
      <c r="EB15" s="140"/>
      <c r="EC15" s="140"/>
      <c r="ED15" s="140"/>
      <c r="EE15" s="140"/>
      <c r="EF15" s="140"/>
      <c r="EG15" s="140"/>
      <c r="EH15" s="140"/>
      <c r="EI15" s="140"/>
      <c r="EJ15" s="140"/>
      <c r="EK15" s="140"/>
      <c r="EL15" s="140"/>
      <c r="EM15" s="140"/>
      <c r="EN15" s="140"/>
      <c r="EO15" s="140"/>
      <c r="EP15" s="140"/>
      <c r="EQ15" s="140"/>
      <c r="ER15" s="140"/>
      <c r="ES15" s="140"/>
      <c r="ET15" s="140"/>
      <c r="EU15" s="140"/>
      <c r="EV15" s="140"/>
      <c r="EW15" s="140"/>
      <c r="EX15" s="140"/>
    </row>
    <row r="16" spans="1:154" s="1" customFormat="1" x14ac:dyDescent="0.3">
      <c r="A16" s="34"/>
      <c r="B16" s="62">
        <v>15000</v>
      </c>
      <c r="C16" s="55">
        <f t="shared" si="0"/>
        <v>1895.134306875786</v>
      </c>
      <c r="D16" s="78" t="s">
        <v>17</v>
      </c>
      <c r="E16" s="79">
        <f t="shared" si="37"/>
        <v>126.34228712505241</v>
      </c>
      <c r="F16" s="87">
        <v>12.634228712505241</v>
      </c>
      <c r="G16" s="87"/>
      <c r="H16" s="100"/>
      <c r="I16" s="101"/>
      <c r="J16" s="228">
        <f t="shared" si="38"/>
        <v>0</v>
      </c>
      <c r="K16" s="226">
        <f t="shared" si="39"/>
        <v>100</v>
      </c>
      <c r="L16" s="24"/>
      <c r="M16" s="84" t="s">
        <v>31</v>
      </c>
      <c r="N16" s="66" t="s">
        <v>43</v>
      </c>
      <c r="O16" s="120">
        <f>O12*0.21</f>
        <v>0.39899999999999997</v>
      </c>
      <c r="P16" s="96"/>
      <c r="Q16" s="234">
        <f t="shared" si="40"/>
        <v>0.39899999999999997</v>
      </c>
      <c r="R16" s="234">
        <f t="shared" si="41"/>
        <v>1000</v>
      </c>
      <c r="S16" s="66"/>
      <c r="T16" s="68">
        <f>SUM(BF5:BF41)</f>
        <v>0.39899999999999974</v>
      </c>
      <c r="U16" s="41"/>
      <c r="V16" s="113"/>
      <c r="W16" s="120">
        <f>W12*0.27</f>
        <v>0.51300000000000001</v>
      </c>
      <c r="X16" s="250"/>
      <c r="Y16" s="120">
        <f>Y12*0.25</f>
        <v>0.47499999999999998</v>
      </c>
      <c r="Z16" s="250"/>
      <c r="AA16" s="120">
        <f>AA12*0.23</f>
        <v>0.437</v>
      </c>
      <c r="AB16" s="250"/>
      <c r="AC16" s="120">
        <f>AC12*0.21</f>
        <v>0.39899999999999997</v>
      </c>
      <c r="AD16" s="250"/>
      <c r="AE16" s="120">
        <f>AE12*0.19</f>
        <v>0.36099999999999999</v>
      </c>
      <c r="AF16" s="116"/>
      <c r="AG16" s="24"/>
      <c r="AH16" s="60" t="s">
        <v>17</v>
      </c>
      <c r="AI16" s="21">
        <v>1790</v>
      </c>
      <c r="AJ16" s="6">
        <f t="shared" si="1"/>
        <v>226.15269395384379</v>
      </c>
      <c r="AK16" s="10">
        <v>11.798</v>
      </c>
      <c r="AL16" s="7">
        <f t="shared" si="2"/>
        <v>1.4905863035013682</v>
      </c>
      <c r="AM16" s="10">
        <v>1.9219999999999999</v>
      </c>
      <c r="AN16" s="13">
        <f t="shared" si="3"/>
        <v>0.24282987585435073</v>
      </c>
      <c r="AO16" s="10">
        <v>1.9219999999999999</v>
      </c>
      <c r="AP16" s="14">
        <f t="shared" si="4"/>
        <v>0.24282987585435073</v>
      </c>
      <c r="AQ16" s="10">
        <v>60.253</v>
      </c>
      <c r="AR16" s="14">
        <f t="shared" si="5"/>
        <v>7.6125018261457829</v>
      </c>
      <c r="AS16" s="10">
        <v>2.6819999999999999</v>
      </c>
      <c r="AT16" s="14">
        <f t="shared" si="6"/>
        <v>0.33885001406939058</v>
      </c>
      <c r="AU16" s="10">
        <v>1.786</v>
      </c>
      <c r="AV16" s="14">
        <f t="shared" si="7"/>
        <v>0.22564732480534361</v>
      </c>
      <c r="AW16" s="10">
        <f>AK16*0.018+0.116</f>
        <v>0.32836399999999999</v>
      </c>
      <c r="AX16" s="17">
        <f t="shared" si="8"/>
        <v>4.1486258769530708E-2</v>
      </c>
      <c r="AY16" s="10">
        <f>AK16*0.014+0.024</f>
        <v>0.18917200000000001</v>
      </c>
      <c r="AZ16" s="17">
        <f t="shared" si="9"/>
        <v>2.3900423140020416E-2</v>
      </c>
      <c r="BA16" s="10">
        <f>AK16*0.032+0.069</f>
        <v>0.44653599999999999</v>
      </c>
      <c r="BB16" s="17">
        <f t="shared" si="10"/>
        <v>5.64163795236724E-2</v>
      </c>
      <c r="BC16" s="10">
        <f>AK16*0.023+0.059</f>
        <v>0.33035399999999998</v>
      </c>
      <c r="BD16" s="17">
        <f t="shared" si="11"/>
        <v>4.1737679920909564E-2</v>
      </c>
      <c r="BE16" s="10">
        <f>AK16*0.009+0.044</f>
        <v>0.15018199999999998</v>
      </c>
      <c r="BF16" s="17">
        <f t="shared" si="12"/>
        <v>1.897433736501462E-2</v>
      </c>
      <c r="BG16" s="10">
        <f>AK16*0.041+0.081</f>
        <v>0.56471800000000005</v>
      </c>
      <c r="BH16" s="17">
        <f t="shared" si="13"/>
        <v>7.1347763700685352E-2</v>
      </c>
      <c r="BI16" s="10">
        <f>AK16*0.034-0.004</f>
        <v>0.39713200000000004</v>
      </c>
      <c r="BJ16" s="17">
        <f t="shared" si="14"/>
        <v>5.0174565170546317E-2</v>
      </c>
      <c r="BK16" s="10">
        <f>AK16*0.062+0.043</f>
        <v>0.77447600000000005</v>
      </c>
      <c r="BL16" s="17">
        <f t="shared" si="15"/>
        <v>9.7849069163462102E-2</v>
      </c>
      <c r="BM16" s="10">
        <f>AK16*0.038+0.054</f>
        <v>0.50232399999999999</v>
      </c>
      <c r="BN16" s="17">
        <f t="shared" si="16"/>
        <v>6.3464763037804822E-2</v>
      </c>
      <c r="BO16" s="10">
        <v>7.0000000000000007E-2</v>
      </c>
      <c r="BP16" s="17">
        <f t="shared" si="17"/>
        <v>8.8439600987536698E-3</v>
      </c>
      <c r="BQ16" s="10">
        <v>0.27939999999999998</v>
      </c>
      <c r="BR16" s="17">
        <f t="shared" si="18"/>
        <v>3.5300035022739637E-2</v>
      </c>
      <c r="BS16" s="10">
        <f>BQ16*0.366</f>
        <v>0.10226039999999999</v>
      </c>
      <c r="BT16" s="17">
        <f t="shared" si="19"/>
        <v>1.2919812818322707E-2</v>
      </c>
      <c r="BU16" s="12">
        <v>0.1</v>
      </c>
      <c r="BV16" s="18">
        <f t="shared" si="20"/>
        <v>1.2634228712505241E-2</v>
      </c>
      <c r="BW16" s="10">
        <v>0.01</v>
      </c>
      <c r="BX16" s="17">
        <f t="shared" si="21"/>
        <v>1.2634228712505241E-3</v>
      </c>
      <c r="BY16" s="10">
        <v>0.4</v>
      </c>
      <c r="BZ16" s="17">
        <f t="shared" si="22"/>
        <v>5.0536914850020966E-2</v>
      </c>
      <c r="CA16" s="10">
        <v>0.09</v>
      </c>
      <c r="CB16" s="17">
        <f t="shared" si="23"/>
        <v>1.1370805841254716E-2</v>
      </c>
      <c r="CC16" s="10">
        <v>0.15</v>
      </c>
      <c r="CD16" s="14">
        <f t="shared" si="24"/>
        <v>1.8951343068757863E-2</v>
      </c>
      <c r="CE16" s="21">
        <f t="shared" si="25"/>
        <v>81.37</v>
      </c>
      <c r="CF16" s="14">
        <f t="shared" si="26"/>
        <v>10.280471903365516</v>
      </c>
      <c r="CG16" s="10">
        <v>0.91900000000000004</v>
      </c>
      <c r="CH16" s="17">
        <f t="shared" si="27"/>
        <v>0.11610856186792316</v>
      </c>
      <c r="CI16" s="10">
        <f>AO16*0.432</f>
        <v>0.83030399999999993</v>
      </c>
      <c r="CJ16" s="14">
        <f t="shared" si="28"/>
        <v>0.10490250636907951</v>
      </c>
      <c r="CK16" s="10">
        <v>0</v>
      </c>
      <c r="CL16" s="14">
        <f t="shared" si="29"/>
        <v>0</v>
      </c>
      <c r="CM16" s="10">
        <v>0</v>
      </c>
      <c r="CN16" s="14">
        <f t="shared" si="30"/>
        <v>0</v>
      </c>
      <c r="CO16" s="10">
        <v>12.503</v>
      </c>
      <c r="CP16" s="14">
        <f t="shared" si="31"/>
        <v>1.5796576159245304</v>
      </c>
      <c r="CQ16" s="10">
        <v>3.375</v>
      </c>
      <c r="CR16" s="14">
        <f t="shared" si="32"/>
        <v>0.42640521904705192</v>
      </c>
      <c r="CS16" s="10">
        <v>2.3519999999999999</v>
      </c>
      <c r="CT16" s="14">
        <f t="shared" si="33"/>
        <v>0.29715705931812325</v>
      </c>
      <c r="CU16" s="10">
        <f t="shared" si="77"/>
        <v>70.864999999999995</v>
      </c>
      <c r="CV16" s="14">
        <f t="shared" si="35"/>
        <v>8.9532461771168386</v>
      </c>
      <c r="CW16" s="11">
        <v>89.052999999999997</v>
      </c>
      <c r="CX16" s="20">
        <f t="shared" si="36"/>
        <v>11.251159695347292</v>
      </c>
      <c r="CY16" s="34"/>
      <c r="CZ16" s="34"/>
      <c r="DA16" s="34"/>
      <c r="DB16" s="34"/>
      <c r="DC16" s="140"/>
      <c r="DD16" s="140"/>
      <c r="DE16" s="140"/>
      <c r="DF16" s="140"/>
      <c r="DG16" s="140"/>
      <c r="DH16" s="140"/>
      <c r="DI16" s="140"/>
      <c r="DJ16" s="140"/>
      <c r="DK16" s="140"/>
      <c r="DL16" s="140"/>
      <c r="DM16" s="140"/>
      <c r="DN16" s="140"/>
      <c r="DO16" s="140"/>
      <c r="DP16" s="140"/>
      <c r="DQ16" s="140"/>
      <c r="DR16" s="140"/>
      <c r="DS16" s="140"/>
      <c r="DT16" s="140"/>
      <c r="DU16" s="140"/>
      <c r="DV16" s="140"/>
      <c r="DW16" s="140"/>
      <c r="DX16" s="140"/>
      <c r="DY16" s="140"/>
      <c r="DZ16" s="140"/>
      <c r="EA16" s="140"/>
      <c r="EB16" s="140"/>
      <c r="EC16" s="140"/>
      <c r="ED16" s="140"/>
      <c r="EE16" s="140"/>
      <c r="EF16" s="140"/>
      <c r="EG16" s="140"/>
      <c r="EH16" s="140"/>
      <c r="EI16" s="140"/>
      <c r="EJ16" s="140"/>
      <c r="EK16" s="140"/>
      <c r="EL16" s="140"/>
      <c r="EM16" s="140"/>
      <c r="EN16" s="140"/>
      <c r="EO16" s="140"/>
      <c r="EP16" s="140"/>
      <c r="EQ16" s="140"/>
      <c r="ER16" s="140"/>
      <c r="ES16" s="140"/>
      <c r="ET16" s="140"/>
      <c r="EU16" s="140"/>
      <c r="EV16" s="140"/>
      <c r="EW16" s="140"/>
      <c r="EX16" s="140"/>
    </row>
    <row r="17" spans="1:154" s="34" customFormat="1" x14ac:dyDescent="0.3">
      <c r="B17" s="61">
        <v>15000</v>
      </c>
      <c r="C17" s="56">
        <f t="shared" si="0"/>
        <v>0</v>
      </c>
      <c r="D17" s="76" t="s">
        <v>18</v>
      </c>
      <c r="E17" s="77">
        <f t="shared" si="37"/>
        <v>0</v>
      </c>
      <c r="F17" s="86">
        <v>0</v>
      </c>
      <c r="G17" s="86"/>
      <c r="H17" s="98"/>
      <c r="I17" s="99"/>
      <c r="J17" s="228">
        <f t="shared" si="38"/>
        <v>0</v>
      </c>
      <c r="K17" s="226">
        <f t="shared" si="39"/>
        <v>100</v>
      </c>
      <c r="L17" s="24"/>
      <c r="M17" s="83" t="s">
        <v>33</v>
      </c>
      <c r="N17" s="65" t="s">
        <v>43</v>
      </c>
      <c r="O17" s="121">
        <f>O12*0.87</f>
        <v>1.653</v>
      </c>
      <c r="P17" s="95"/>
      <c r="Q17" s="233">
        <f t="shared" si="40"/>
        <v>1.653</v>
      </c>
      <c r="R17" s="233">
        <f t="shared" si="41"/>
        <v>1000</v>
      </c>
      <c r="S17" s="65"/>
      <c r="T17" s="69">
        <f>SUM(BH5:BH41)</f>
        <v>2.2672888662876409</v>
      </c>
      <c r="U17" s="41"/>
      <c r="V17" s="113"/>
      <c r="W17" s="121">
        <f>W12*0.92</f>
        <v>1.748</v>
      </c>
      <c r="X17" s="250"/>
      <c r="Y17" s="121">
        <f>Y12*0.9</f>
        <v>1.71</v>
      </c>
      <c r="Z17" s="250"/>
      <c r="AA17" s="121">
        <f>AA12*0.88</f>
        <v>1.6719999999999999</v>
      </c>
      <c r="AB17" s="250"/>
      <c r="AC17" s="121">
        <f>AC12*0.87</f>
        <v>1.653</v>
      </c>
      <c r="AD17" s="250"/>
      <c r="AE17" s="121">
        <f>AE12*0.86</f>
        <v>1.6339999999999999</v>
      </c>
      <c r="AF17" s="116"/>
      <c r="AG17" s="24"/>
      <c r="AH17" s="59" t="s">
        <v>18</v>
      </c>
      <c r="AI17" s="31">
        <v>1700</v>
      </c>
      <c r="AJ17" s="25">
        <f t="shared" si="1"/>
        <v>0</v>
      </c>
      <c r="AK17" s="26">
        <v>10.048999999999999</v>
      </c>
      <c r="AL17" s="27">
        <f t="shared" si="2"/>
        <v>0</v>
      </c>
      <c r="AM17" s="26">
        <v>2.4910000000000001</v>
      </c>
      <c r="AN17" s="28">
        <f t="shared" si="3"/>
        <v>0</v>
      </c>
      <c r="AO17" s="26">
        <v>2.4910000000000001</v>
      </c>
      <c r="AP17" s="29">
        <f t="shared" si="4"/>
        <v>0</v>
      </c>
      <c r="AQ17" s="26">
        <v>51.63</v>
      </c>
      <c r="AR17" s="29">
        <f t="shared" si="5"/>
        <v>0</v>
      </c>
      <c r="AS17" s="26">
        <v>4.4429999999999996</v>
      </c>
      <c r="AT17" s="29">
        <f t="shared" si="6"/>
        <v>0</v>
      </c>
      <c r="AU17" s="26">
        <v>2.5680000000000001</v>
      </c>
      <c r="AV17" s="29">
        <f t="shared" si="7"/>
        <v>0</v>
      </c>
      <c r="AW17" s="26">
        <f>AK17*0.024+0.125</f>
        <v>0.366176</v>
      </c>
      <c r="AX17" s="30">
        <f t="shared" si="8"/>
        <v>0</v>
      </c>
      <c r="AY17" s="26">
        <f>AK17*0.013+0.031</f>
        <v>0.16163699999999998</v>
      </c>
      <c r="AZ17" s="30">
        <f t="shared" si="9"/>
        <v>0</v>
      </c>
      <c r="BA17" s="26">
        <f>AK17*0.028+0.108</f>
        <v>0.389372</v>
      </c>
      <c r="BB17" s="30">
        <f t="shared" si="10"/>
        <v>0</v>
      </c>
      <c r="BC17" s="26">
        <f>AK17*0.027+0.06</f>
        <v>0.33132299999999998</v>
      </c>
      <c r="BD17" s="30">
        <f t="shared" si="11"/>
        <v>0</v>
      </c>
      <c r="BE17" s="26">
        <f>AK17*0.01+0.024</f>
        <v>0.12448999999999999</v>
      </c>
      <c r="BF17" s="30">
        <f t="shared" si="12"/>
        <v>0</v>
      </c>
      <c r="BG17" s="26">
        <f>AK17*0.041+0.096</f>
        <v>0.50800900000000004</v>
      </c>
      <c r="BH17" s="30">
        <f t="shared" si="13"/>
        <v>0</v>
      </c>
      <c r="BI17" s="26">
        <f>AK17*0.034-0.005</f>
        <v>0.33666600000000002</v>
      </c>
      <c r="BJ17" s="30">
        <f t="shared" si="14"/>
        <v>0</v>
      </c>
      <c r="BK17" s="26">
        <f>AK17*0.064+0.043</f>
        <v>0.68613599999999997</v>
      </c>
      <c r="BL17" s="30">
        <f t="shared" si="15"/>
        <v>0</v>
      </c>
      <c r="BM17" s="26">
        <f>AK17*0.043+0.06</f>
        <v>0.49210699999999996</v>
      </c>
      <c r="BN17" s="30">
        <f t="shared" si="16"/>
        <v>0</v>
      </c>
      <c r="BO17" s="26">
        <v>7.0000000000000007E-2</v>
      </c>
      <c r="BP17" s="30">
        <f t="shared" si="17"/>
        <v>0</v>
      </c>
      <c r="BQ17" s="26">
        <v>0.32379999999999998</v>
      </c>
      <c r="BR17" s="30">
        <f t="shared" si="18"/>
        <v>0</v>
      </c>
      <c r="BS17" s="26">
        <f>BQ17*0.3</f>
        <v>9.713999999999999E-2</v>
      </c>
      <c r="BT17" s="30">
        <f t="shared" si="19"/>
        <v>0</v>
      </c>
      <c r="BU17" s="26">
        <v>0.1</v>
      </c>
      <c r="BV17" s="30">
        <f t="shared" si="20"/>
        <v>0</v>
      </c>
      <c r="BW17" s="26">
        <v>0.01</v>
      </c>
      <c r="BX17" s="30">
        <f t="shared" si="21"/>
        <v>0</v>
      </c>
      <c r="BY17" s="26">
        <v>0.48</v>
      </c>
      <c r="BZ17" s="30">
        <f t="shared" si="22"/>
        <v>0</v>
      </c>
      <c r="CA17" s="26">
        <v>0.11</v>
      </c>
      <c r="CB17" s="30">
        <f t="shared" si="23"/>
        <v>0</v>
      </c>
      <c r="CC17" s="26">
        <v>0.13</v>
      </c>
      <c r="CD17" s="29">
        <f t="shared" si="24"/>
        <v>0</v>
      </c>
      <c r="CE17" s="31">
        <f t="shared" si="25"/>
        <v>96.21</v>
      </c>
      <c r="CF17" s="29">
        <f t="shared" si="26"/>
        <v>0</v>
      </c>
      <c r="CG17" s="26">
        <v>1.008</v>
      </c>
      <c r="CH17" s="30">
        <f t="shared" si="27"/>
        <v>0</v>
      </c>
      <c r="CI17" s="26">
        <f>AO17*0.4155</f>
        <v>1.0350105000000001</v>
      </c>
      <c r="CJ17" s="29">
        <f t="shared" si="28"/>
        <v>0</v>
      </c>
      <c r="CK17" s="26">
        <v>0</v>
      </c>
      <c r="CL17" s="29">
        <f t="shared" si="29"/>
        <v>0</v>
      </c>
      <c r="CM17" s="26">
        <v>0</v>
      </c>
      <c r="CN17" s="29">
        <f t="shared" si="30"/>
        <v>0</v>
      </c>
      <c r="CO17" s="26">
        <v>19.614999999999998</v>
      </c>
      <c r="CP17" s="29">
        <f t="shared" si="31"/>
        <v>0</v>
      </c>
      <c r="CQ17" s="26">
        <v>5.9160000000000004</v>
      </c>
      <c r="CR17" s="29">
        <f t="shared" si="32"/>
        <v>0</v>
      </c>
      <c r="CS17" s="26">
        <v>2.0019999999999998</v>
      </c>
      <c r="CT17" s="29">
        <f t="shared" si="33"/>
        <v>0</v>
      </c>
      <c r="CU17" s="38">
        <f t="shared" si="77"/>
        <v>69.328000000000003</v>
      </c>
      <c r="CV17" s="29">
        <f t="shared" si="35"/>
        <v>0</v>
      </c>
      <c r="CW17" s="32">
        <v>88.879000000000005</v>
      </c>
      <c r="CX17" s="33">
        <f t="shared" si="36"/>
        <v>0</v>
      </c>
      <c r="DC17" s="140"/>
      <c r="DD17" s="140"/>
      <c r="DE17" s="140"/>
      <c r="DF17" s="140"/>
      <c r="DG17" s="140"/>
      <c r="DH17" s="140"/>
      <c r="DI17" s="140"/>
      <c r="DJ17" s="140"/>
      <c r="DK17" s="140"/>
      <c r="DL17" s="140"/>
      <c r="DM17" s="140"/>
      <c r="DN17" s="140"/>
      <c r="DO17" s="140"/>
      <c r="DP17" s="140"/>
      <c r="DQ17" s="140"/>
      <c r="DR17" s="140"/>
      <c r="DS17" s="140"/>
      <c r="DT17" s="140"/>
      <c r="DU17" s="140"/>
      <c r="DV17" s="140"/>
      <c r="DW17" s="140"/>
      <c r="DX17" s="140"/>
      <c r="DY17" s="140"/>
      <c r="DZ17" s="140"/>
      <c r="EA17" s="140"/>
      <c r="EB17" s="140"/>
      <c r="EC17" s="140"/>
      <c r="ED17" s="140"/>
      <c r="EE17" s="140"/>
      <c r="EF17" s="140"/>
      <c r="EG17" s="140"/>
      <c r="EH17" s="140"/>
      <c r="EI17" s="140"/>
      <c r="EJ17" s="140"/>
      <c r="EK17" s="140"/>
      <c r="EL17" s="140"/>
      <c r="EM17" s="140"/>
      <c r="EN17" s="140"/>
      <c r="EO17" s="140"/>
      <c r="EP17" s="140"/>
      <c r="EQ17" s="140"/>
      <c r="ER17" s="140"/>
      <c r="ES17" s="140"/>
      <c r="ET17" s="140"/>
      <c r="EU17" s="140"/>
      <c r="EV17" s="140"/>
      <c r="EW17" s="140"/>
      <c r="EX17" s="140"/>
    </row>
    <row r="18" spans="1:154" s="1" customFormat="1" x14ac:dyDescent="0.3">
      <c r="A18" s="34"/>
      <c r="B18" s="62">
        <v>30000</v>
      </c>
      <c r="C18" s="55">
        <f>F18*B18%</f>
        <v>0</v>
      </c>
      <c r="D18" s="78" t="s">
        <v>19</v>
      </c>
      <c r="E18" s="79">
        <f t="shared" si="37"/>
        <v>0</v>
      </c>
      <c r="F18" s="87">
        <v>0</v>
      </c>
      <c r="G18" s="87"/>
      <c r="H18" s="100"/>
      <c r="I18" s="101">
        <v>0</v>
      </c>
      <c r="J18" s="228">
        <f t="shared" si="38"/>
        <v>0</v>
      </c>
      <c r="K18" s="226">
        <f t="shared" si="39"/>
        <v>0</v>
      </c>
      <c r="L18" s="24"/>
      <c r="M18" s="84" t="s">
        <v>39</v>
      </c>
      <c r="N18" s="66" t="s">
        <v>43</v>
      </c>
      <c r="O18" s="120">
        <f>O12*0.63</f>
        <v>1.1969999999999998</v>
      </c>
      <c r="P18" s="96"/>
      <c r="Q18" s="234">
        <f t="shared" si="40"/>
        <v>1.1969999999999998</v>
      </c>
      <c r="R18" s="234">
        <f t="shared" si="41"/>
        <v>1000</v>
      </c>
      <c r="S18" s="66"/>
      <c r="T18" s="68">
        <f>SUM(BJ5:BJ41)</f>
        <v>1.7872210573521738</v>
      </c>
      <c r="U18" s="41"/>
      <c r="V18" s="113"/>
      <c r="W18" s="120">
        <f>W12*0.66</f>
        <v>1.254</v>
      </c>
      <c r="X18" s="250"/>
      <c r="Y18" s="120">
        <f>Y12*0.65</f>
        <v>1.2349999999999999</v>
      </c>
      <c r="Z18" s="250"/>
      <c r="AA18" s="120">
        <f>AA12*0.64</f>
        <v>1.216</v>
      </c>
      <c r="AB18" s="250"/>
      <c r="AC18" s="120">
        <f>AC12*0.63</f>
        <v>1.1969999999999998</v>
      </c>
      <c r="AD18" s="250"/>
      <c r="AE18" s="120">
        <f>AE12*0.62</f>
        <v>1.1779999999999999</v>
      </c>
      <c r="AF18" s="116"/>
      <c r="AG18" s="24"/>
      <c r="AH18" s="60" t="s">
        <v>19</v>
      </c>
      <c r="AI18" s="21">
        <v>1450</v>
      </c>
      <c r="AJ18" s="6">
        <f t="shared" si="1"/>
        <v>0</v>
      </c>
      <c r="AK18" s="10">
        <v>8.2100000000000009</v>
      </c>
      <c r="AL18" s="7">
        <f t="shared" si="2"/>
        <v>0</v>
      </c>
      <c r="AM18" s="10">
        <v>1.17</v>
      </c>
      <c r="AN18" s="13">
        <f t="shared" si="3"/>
        <v>0</v>
      </c>
      <c r="AO18" s="10">
        <v>1.17</v>
      </c>
      <c r="AP18" s="14">
        <f t="shared" si="4"/>
        <v>0</v>
      </c>
      <c r="AQ18" s="10">
        <v>76.040000000000006</v>
      </c>
      <c r="AR18" s="14">
        <f t="shared" si="5"/>
        <v>0</v>
      </c>
      <c r="AS18" s="10">
        <v>0.47</v>
      </c>
      <c r="AT18" s="14">
        <f t="shared" si="6"/>
        <v>0</v>
      </c>
      <c r="AU18" s="10">
        <v>0.77</v>
      </c>
      <c r="AV18" s="14">
        <f t="shared" si="7"/>
        <v>0</v>
      </c>
      <c r="AW18" s="10">
        <f>AK18*0.034+0.008</f>
        <v>0.28714000000000006</v>
      </c>
      <c r="AX18" s="17">
        <f t="shared" si="8"/>
        <v>0</v>
      </c>
      <c r="AY18" s="10">
        <f>AK18*0.018+0.065</f>
        <v>0.21278</v>
      </c>
      <c r="AZ18" s="17">
        <f t="shared" si="9"/>
        <v>0</v>
      </c>
      <c r="BA18" s="10">
        <f>AK18*0.038+0.088</f>
        <v>0.39998</v>
      </c>
      <c r="BB18" s="17">
        <f t="shared" si="10"/>
        <v>0</v>
      </c>
      <c r="BC18" s="10">
        <f>AK18*0.034+0.002</f>
        <v>0.28114000000000006</v>
      </c>
      <c r="BD18" s="17">
        <f t="shared" si="11"/>
        <v>0</v>
      </c>
      <c r="BE18" s="10">
        <f>AK18*0.011+0.014</f>
        <v>0.10431</v>
      </c>
      <c r="BF18" s="17">
        <f t="shared" si="12"/>
        <v>0</v>
      </c>
      <c r="BG18" s="10">
        <f>AK18*0.08-0.03</f>
        <v>0.62680000000000002</v>
      </c>
      <c r="BH18" s="17">
        <f t="shared" si="13"/>
        <v>0</v>
      </c>
      <c r="BI18" s="10">
        <f>AK18*0.037+0.016</f>
        <v>0.31977000000000005</v>
      </c>
      <c r="BJ18" s="17">
        <f t="shared" si="14"/>
        <v>0</v>
      </c>
      <c r="BK18" s="10">
        <f>AK18*0.075+0.021</f>
        <v>0.63675000000000004</v>
      </c>
      <c r="BL18" s="17">
        <f t="shared" si="15"/>
        <v>0</v>
      </c>
      <c r="BM18" s="10">
        <f>AK18*0.054+0.02</f>
        <v>0.46334000000000009</v>
      </c>
      <c r="BN18" s="17">
        <f t="shared" si="16"/>
        <v>0</v>
      </c>
      <c r="BO18" s="10">
        <v>0.05</v>
      </c>
      <c r="BP18" s="17">
        <f t="shared" si="17"/>
        <v>0</v>
      </c>
      <c r="BQ18" s="10">
        <v>0.13</v>
      </c>
      <c r="BR18" s="17">
        <f t="shared" si="18"/>
        <v>0</v>
      </c>
      <c r="BS18" s="10">
        <f>BQ18*0.46</f>
        <v>5.9800000000000006E-2</v>
      </c>
      <c r="BT18" s="17">
        <f t="shared" si="19"/>
        <v>0</v>
      </c>
      <c r="BU18" s="12">
        <v>0.04</v>
      </c>
      <c r="BV18" s="18">
        <f t="shared" si="20"/>
        <v>0</v>
      </c>
      <c r="BW18" s="10">
        <v>4.0000000000000001E-3</v>
      </c>
      <c r="BX18" s="17">
        <f t="shared" si="21"/>
        <v>0</v>
      </c>
      <c r="BY18" s="10">
        <v>0.31</v>
      </c>
      <c r="BZ18" s="17">
        <f t="shared" si="22"/>
        <v>0</v>
      </c>
      <c r="CA18" s="10">
        <v>0.04</v>
      </c>
      <c r="CB18" s="17">
        <f t="shared" si="23"/>
        <v>0</v>
      </c>
      <c r="CC18" s="10">
        <v>0.08</v>
      </c>
      <c r="CD18" s="14">
        <f t="shared" si="24"/>
        <v>0</v>
      </c>
      <c r="CE18" s="21">
        <f t="shared" si="25"/>
        <v>69.819999999999993</v>
      </c>
      <c r="CF18" s="14">
        <f t="shared" si="26"/>
        <v>0</v>
      </c>
      <c r="CG18" s="10">
        <v>0.97399999999999998</v>
      </c>
      <c r="CH18" s="17">
        <f t="shared" si="27"/>
        <v>0</v>
      </c>
      <c r="CI18" s="10">
        <f>AO18*0.323</f>
        <v>0.37790999999999997</v>
      </c>
      <c r="CJ18" s="14">
        <f t="shared" si="28"/>
        <v>0</v>
      </c>
      <c r="CK18" s="10">
        <v>0</v>
      </c>
      <c r="CL18" s="14">
        <f t="shared" si="29"/>
        <v>0</v>
      </c>
      <c r="CM18" s="10">
        <v>0</v>
      </c>
      <c r="CN18" s="14">
        <f t="shared" si="30"/>
        <v>0</v>
      </c>
      <c r="CO18" s="10">
        <v>4.7300000000000004</v>
      </c>
      <c r="CP18" s="14">
        <f t="shared" si="31"/>
        <v>0</v>
      </c>
      <c r="CQ18" s="10">
        <v>1.19</v>
      </c>
      <c r="CR18" s="14">
        <f t="shared" si="32"/>
        <v>0</v>
      </c>
      <c r="CS18" s="10">
        <v>0.48</v>
      </c>
      <c r="CT18" s="14">
        <f t="shared" si="33"/>
        <v>0</v>
      </c>
      <c r="CU18" s="10">
        <f t="shared" si="77"/>
        <v>77.38</v>
      </c>
      <c r="CV18" s="14">
        <f t="shared" si="35"/>
        <v>0</v>
      </c>
      <c r="CW18" s="11">
        <v>88</v>
      </c>
      <c r="CX18" s="20">
        <f t="shared" si="36"/>
        <v>0</v>
      </c>
      <c r="CY18" s="34"/>
      <c r="CZ18" s="34"/>
      <c r="DA18" s="34"/>
      <c r="DB18" s="34"/>
      <c r="DC18" s="140"/>
      <c r="DD18" s="140"/>
      <c r="DE18" s="140"/>
      <c r="DF18" s="140"/>
      <c r="DG18" s="140"/>
      <c r="DH18" s="140"/>
      <c r="DI18" s="140"/>
      <c r="DJ18" s="140"/>
      <c r="DK18" s="140"/>
      <c r="DL18" s="140"/>
      <c r="DM18" s="140"/>
      <c r="DN18" s="140"/>
      <c r="DO18" s="140"/>
      <c r="DP18" s="140"/>
      <c r="DQ18" s="140"/>
      <c r="DR18" s="140"/>
      <c r="DS18" s="140"/>
      <c r="DT18" s="140"/>
      <c r="DU18" s="140"/>
      <c r="DV18" s="140"/>
      <c r="DW18" s="140"/>
      <c r="DX18" s="140"/>
      <c r="DY18" s="140"/>
      <c r="DZ18" s="140"/>
      <c r="EA18" s="140"/>
      <c r="EB18" s="140"/>
      <c r="EC18" s="140"/>
      <c r="ED18" s="140"/>
      <c r="EE18" s="140"/>
      <c r="EF18" s="140"/>
      <c r="EG18" s="140"/>
      <c r="EH18" s="140"/>
      <c r="EI18" s="140"/>
      <c r="EJ18" s="140"/>
      <c r="EK18" s="140"/>
      <c r="EL18" s="140"/>
      <c r="EM18" s="140"/>
      <c r="EN18" s="140"/>
      <c r="EO18" s="140"/>
      <c r="EP18" s="140"/>
      <c r="EQ18" s="140"/>
      <c r="ER18" s="140"/>
      <c r="ES18" s="140"/>
      <c r="ET18" s="140"/>
      <c r="EU18" s="140"/>
      <c r="EV18" s="140"/>
      <c r="EW18" s="140"/>
      <c r="EX18" s="140"/>
    </row>
    <row r="19" spans="1:154" s="34" customFormat="1" x14ac:dyDescent="0.3">
      <c r="B19" s="61">
        <v>25000</v>
      </c>
      <c r="C19" s="56">
        <f t="shared" si="0"/>
        <v>0</v>
      </c>
      <c r="D19" s="76" t="s">
        <v>20</v>
      </c>
      <c r="E19" s="77">
        <f t="shared" si="37"/>
        <v>0</v>
      </c>
      <c r="F19" s="86">
        <v>0</v>
      </c>
      <c r="G19" s="86"/>
      <c r="H19" s="98"/>
      <c r="I19" s="99">
        <v>0</v>
      </c>
      <c r="J19" s="228">
        <f t="shared" si="38"/>
        <v>0</v>
      </c>
      <c r="K19" s="226">
        <f t="shared" si="39"/>
        <v>0</v>
      </c>
      <c r="L19" s="24"/>
      <c r="M19" s="83" t="s">
        <v>32</v>
      </c>
      <c r="N19" s="65" t="s">
        <v>43</v>
      </c>
      <c r="O19" s="121">
        <f>O12*0.68</f>
        <v>1.292</v>
      </c>
      <c r="P19" s="95"/>
      <c r="Q19" s="233">
        <f t="shared" si="40"/>
        <v>1.292</v>
      </c>
      <c r="R19" s="233">
        <f t="shared" si="41"/>
        <v>1000</v>
      </c>
      <c r="S19" s="65"/>
      <c r="T19" s="69">
        <f>SUM(BN5:BN41)</f>
        <v>2.1065414642255913</v>
      </c>
      <c r="U19" s="41"/>
      <c r="V19" s="113"/>
      <c r="W19" s="121">
        <f>W12*0.74</f>
        <v>1.4059999999999999</v>
      </c>
      <c r="X19" s="250"/>
      <c r="Y19" s="121">
        <f>Y12*0.72</f>
        <v>1.3679999999999999</v>
      </c>
      <c r="Z19" s="250"/>
      <c r="AA19" s="121">
        <f>AA12*0.7</f>
        <v>1.3299999999999998</v>
      </c>
      <c r="AB19" s="250"/>
      <c r="AC19" s="121">
        <f>AC12*0.68</f>
        <v>1.292</v>
      </c>
      <c r="AD19" s="250"/>
      <c r="AE19" s="121">
        <f>AE12*0.67</f>
        <v>1.2729999999999999</v>
      </c>
      <c r="AF19" s="116"/>
      <c r="AG19" s="24"/>
      <c r="AH19" s="59" t="s">
        <v>20</v>
      </c>
      <c r="AI19" s="31">
        <v>4060</v>
      </c>
      <c r="AJ19" s="25">
        <f t="shared" si="1"/>
        <v>0</v>
      </c>
      <c r="AK19" s="26">
        <v>34.634</v>
      </c>
      <c r="AL19" s="27">
        <f t="shared" si="2"/>
        <v>0</v>
      </c>
      <c r="AM19" s="26">
        <v>18.672000000000001</v>
      </c>
      <c r="AN19" s="28">
        <f t="shared" si="3"/>
        <v>0</v>
      </c>
      <c r="AO19" s="26">
        <v>18.672000000000001</v>
      </c>
      <c r="AP19" s="29">
        <f t="shared" si="4"/>
        <v>0</v>
      </c>
      <c r="AQ19" s="26">
        <v>0.57199999999999995</v>
      </c>
      <c r="AR19" s="29">
        <f t="shared" si="5"/>
        <v>0</v>
      </c>
      <c r="AS19" s="26">
        <v>5.2060000000000004</v>
      </c>
      <c r="AT19" s="29">
        <f t="shared" si="6"/>
        <v>0</v>
      </c>
      <c r="AU19" s="26">
        <v>5.0709999999999997</v>
      </c>
      <c r="AV19" s="29">
        <f t="shared" si="7"/>
        <v>0</v>
      </c>
      <c r="AW19" s="26">
        <f>AK19*0.049+0.468</f>
        <v>2.1650660000000004</v>
      </c>
      <c r="AX19" s="30">
        <f t="shared" si="8"/>
        <v>0</v>
      </c>
      <c r="AY19" s="26">
        <f>AK19*0.0135</f>
        <v>0.467559</v>
      </c>
      <c r="AZ19" s="30">
        <f t="shared" si="9"/>
        <v>0</v>
      </c>
      <c r="BA19" s="26">
        <f>AK19*0.029</f>
        <v>1.004386</v>
      </c>
      <c r="BB19" s="30">
        <f t="shared" si="10"/>
        <v>0</v>
      </c>
      <c r="BC19" s="26">
        <f>AK19*0.029+0.346</f>
        <v>1.3503859999999999</v>
      </c>
      <c r="BD19" s="30">
        <f t="shared" si="11"/>
        <v>0</v>
      </c>
      <c r="BE19" s="26">
        <f>AK19*0.009+0.162</f>
        <v>0.47370599999999996</v>
      </c>
      <c r="BF19" s="30">
        <f t="shared" si="12"/>
        <v>0</v>
      </c>
      <c r="BG19" s="26">
        <f>AK19*0.084-0.374</f>
        <v>2.535256</v>
      </c>
      <c r="BH19" s="30">
        <f t="shared" si="13"/>
        <v>0</v>
      </c>
      <c r="BI19" s="26">
        <f>AK19*0.043+0.086</f>
        <v>1.5752619999999999</v>
      </c>
      <c r="BJ19" s="30">
        <f t="shared" si="14"/>
        <v>0</v>
      </c>
      <c r="BK19" s="26">
        <f>AK19*0.072+0.138</f>
        <v>2.6316479999999998</v>
      </c>
      <c r="BL19" s="30">
        <f t="shared" si="15"/>
        <v>0</v>
      </c>
      <c r="BM19" s="26">
        <f>AK19*0.041+0.228</f>
        <v>1.647994</v>
      </c>
      <c r="BN19" s="30">
        <f t="shared" si="16"/>
        <v>0</v>
      </c>
      <c r="BO19" s="26">
        <v>0.31</v>
      </c>
      <c r="BP19" s="30">
        <f t="shared" si="17"/>
        <v>0</v>
      </c>
      <c r="BQ19" s="26">
        <v>0.4708</v>
      </c>
      <c r="BR19" s="30">
        <f t="shared" si="18"/>
        <v>0</v>
      </c>
      <c r="BS19" s="26">
        <f>BQ19*0.323</f>
        <v>0.15206839999999999</v>
      </c>
      <c r="BT19" s="30">
        <f t="shared" si="19"/>
        <v>0</v>
      </c>
      <c r="BU19" s="26">
        <v>0.21</v>
      </c>
      <c r="BV19" s="30">
        <f t="shared" si="20"/>
        <v>0</v>
      </c>
      <c r="BW19" s="26">
        <v>0.08</v>
      </c>
      <c r="BX19" s="30">
        <f t="shared" si="21"/>
        <v>0</v>
      </c>
      <c r="BY19" s="26">
        <v>1.85</v>
      </c>
      <c r="BZ19" s="30">
        <f t="shared" si="22"/>
        <v>0</v>
      </c>
      <c r="CA19" s="26">
        <v>0.04</v>
      </c>
      <c r="CB19" s="30">
        <f t="shared" si="23"/>
        <v>0</v>
      </c>
      <c r="CC19" s="26">
        <v>0.28000000000000003</v>
      </c>
      <c r="CD19" s="29">
        <f t="shared" si="24"/>
        <v>0</v>
      </c>
      <c r="CE19" s="31">
        <f t="shared" si="25"/>
        <v>497.12000000000006</v>
      </c>
      <c r="CF19" s="29">
        <f t="shared" si="26"/>
        <v>0</v>
      </c>
      <c r="CG19" s="26">
        <v>2.1190000000000002</v>
      </c>
      <c r="CH19" s="30">
        <f t="shared" si="27"/>
        <v>0</v>
      </c>
      <c r="CI19" s="26">
        <f>AO19*0.50445</f>
        <v>9.4190904</v>
      </c>
      <c r="CJ19" s="29">
        <f t="shared" si="28"/>
        <v>0</v>
      </c>
      <c r="CK19" s="26">
        <v>1.26</v>
      </c>
      <c r="CL19" s="29">
        <f t="shared" si="29"/>
        <v>0</v>
      </c>
      <c r="CM19" s="26">
        <v>0</v>
      </c>
      <c r="CN19" s="29">
        <f t="shared" si="30"/>
        <v>0</v>
      </c>
      <c r="CO19" s="26">
        <v>11.09</v>
      </c>
      <c r="CP19" s="29">
        <f t="shared" si="31"/>
        <v>0</v>
      </c>
      <c r="CQ19" s="26">
        <v>7.0330000000000004</v>
      </c>
      <c r="CR19" s="29">
        <f t="shared" si="32"/>
        <v>0</v>
      </c>
      <c r="CS19" s="26">
        <v>7.4080000000000004</v>
      </c>
      <c r="CT19" s="29">
        <f t="shared" si="33"/>
        <v>0</v>
      </c>
      <c r="CU19" s="26">
        <f t="shared" si="77"/>
        <v>26.849000000000004</v>
      </c>
      <c r="CV19" s="29">
        <f t="shared" si="35"/>
        <v>0</v>
      </c>
      <c r="CW19" s="32">
        <v>90.432000000000002</v>
      </c>
      <c r="CX19" s="33">
        <f t="shared" si="36"/>
        <v>0</v>
      </c>
      <c r="DC19" s="140"/>
      <c r="DD19" s="140"/>
      <c r="DE19" s="140"/>
      <c r="DF19" s="140"/>
      <c r="DG19" s="140"/>
      <c r="DH19" s="140"/>
      <c r="DI19" s="140"/>
      <c r="DJ19" s="140"/>
      <c r="DK19" s="140"/>
      <c r="DL19" s="140"/>
      <c r="DM19" s="140"/>
      <c r="DN19" s="140"/>
      <c r="DO19" s="140"/>
      <c r="DP19" s="140"/>
      <c r="DQ19" s="140"/>
      <c r="DR19" s="140"/>
      <c r="DS19" s="140"/>
      <c r="DT19" s="140"/>
      <c r="DU19" s="140"/>
      <c r="DV19" s="140"/>
      <c r="DW19" s="140"/>
      <c r="DX19" s="140"/>
      <c r="DY19" s="140"/>
      <c r="DZ19" s="140"/>
      <c r="EA19" s="140"/>
      <c r="EB19" s="140"/>
      <c r="EC19" s="140"/>
      <c r="ED19" s="140"/>
      <c r="EE19" s="140"/>
      <c r="EF19" s="140"/>
      <c r="EG19" s="140"/>
      <c r="EH19" s="140"/>
      <c r="EI19" s="140"/>
      <c r="EJ19" s="140"/>
      <c r="EK19" s="140"/>
      <c r="EL19" s="140"/>
      <c r="EM19" s="140"/>
      <c r="EN19" s="140"/>
      <c r="EO19" s="140"/>
      <c r="EP19" s="140"/>
      <c r="EQ19" s="140"/>
      <c r="ER19" s="140"/>
      <c r="ES19" s="140"/>
      <c r="ET19" s="140"/>
      <c r="EU19" s="140"/>
      <c r="EV19" s="140"/>
      <c r="EW19" s="140"/>
      <c r="EX19" s="140"/>
    </row>
    <row r="20" spans="1:154" s="34" customFormat="1" x14ac:dyDescent="0.3">
      <c r="B20" s="62">
        <v>18000</v>
      </c>
      <c r="C20" s="55">
        <f t="shared" si="0"/>
        <v>3600</v>
      </c>
      <c r="D20" s="78" t="s">
        <v>21</v>
      </c>
      <c r="E20" s="79">
        <f t="shared" si="37"/>
        <v>200</v>
      </c>
      <c r="F20" s="87">
        <v>20</v>
      </c>
      <c r="G20" s="87"/>
      <c r="H20" s="100"/>
      <c r="I20" s="101">
        <v>20</v>
      </c>
      <c r="J20" s="228">
        <f t="shared" si="38"/>
        <v>0</v>
      </c>
      <c r="K20" s="226">
        <f t="shared" si="39"/>
        <v>20</v>
      </c>
      <c r="L20" s="24"/>
      <c r="M20" s="84" t="s">
        <v>49</v>
      </c>
      <c r="N20" s="66" t="s">
        <v>43</v>
      </c>
      <c r="O20" s="66"/>
      <c r="P20" s="96">
        <v>1</v>
      </c>
      <c r="Q20" s="234">
        <f t="shared" si="40"/>
        <v>0</v>
      </c>
      <c r="R20" s="234">
        <f t="shared" si="41"/>
        <v>1</v>
      </c>
      <c r="S20" s="66"/>
      <c r="T20" s="68">
        <f>SUM(BP5:BP41)</f>
        <v>0.99999999999999889</v>
      </c>
      <c r="U20" s="41"/>
      <c r="V20" s="113"/>
      <c r="W20" s="119">
        <v>1</v>
      </c>
      <c r="X20" s="249"/>
      <c r="Y20" s="119">
        <v>1</v>
      </c>
      <c r="Z20" s="249"/>
      <c r="AA20" s="119">
        <v>1</v>
      </c>
      <c r="AB20" s="249"/>
      <c r="AC20" s="119">
        <v>1</v>
      </c>
      <c r="AD20" s="249"/>
      <c r="AE20" s="119">
        <v>1</v>
      </c>
      <c r="AF20" s="116"/>
      <c r="AG20" s="24"/>
      <c r="AH20" s="60" t="s">
        <v>21</v>
      </c>
      <c r="AI20" s="21">
        <v>3100</v>
      </c>
      <c r="AJ20" s="6">
        <f t="shared" si="1"/>
        <v>620</v>
      </c>
      <c r="AK20" s="10">
        <v>45</v>
      </c>
      <c r="AL20" s="7">
        <f t="shared" si="2"/>
        <v>9</v>
      </c>
      <c r="AM20" s="10">
        <v>1.671</v>
      </c>
      <c r="AN20" s="13">
        <f t="shared" si="3"/>
        <v>0.3342</v>
      </c>
      <c r="AO20" s="10">
        <v>1.671</v>
      </c>
      <c r="AP20" s="14">
        <f t="shared" si="4"/>
        <v>0.3342</v>
      </c>
      <c r="AQ20" s="10">
        <v>0.56299999999999994</v>
      </c>
      <c r="AR20" s="14">
        <f t="shared" si="5"/>
        <v>0.11259999999999999</v>
      </c>
      <c r="AS20" s="10">
        <v>4.5209999999999999</v>
      </c>
      <c r="AT20" s="14">
        <f t="shared" si="6"/>
        <v>0.9042</v>
      </c>
      <c r="AU20" s="10">
        <v>6.4749999999999996</v>
      </c>
      <c r="AV20" s="14">
        <f t="shared" si="7"/>
        <v>1.2949999999999999</v>
      </c>
      <c r="AW20" s="10">
        <f>AK20*0.0605</f>
        <v>2.7225000000000001</v>
      </c>
      <c r="AX20" s="17">
        <f t="shared" si="8"/>
        <v>0.5445000000000001</v>
      </c>
      <c r="AY20" s="10">
        <f>AK20*0.0133</f>
        <v>0.59849999999999992</v>
      </c>
      <c r="AZ20" s="17">
        <f t="shared" si="9"/>
        <v>0.11969999999999997</v>
      </c>
      <c r="BA20" s="10">
        <f>AK20*0.0275</f>
        <v>1.2375</v>
      </c>
      <c r="BB20" s="17">
        <f t="shared" si="10"/>
        <v>0.2475</v>
      </c>
      <c r="BC20" s="10">
        <f>AK20*0.036+0.143</f>
        <v>1.7629999999999999</v>
      </c>
      <c r="BD20" s="17">
        <f t="shared" si="11"/>
        <v>0.35260000000000002</v>
      </c>
      <c r="BE20" s="10">
        <f>AK20*0.01+0.153</f>
        <v>0.60299999999999998</v>
      </c>
      <c r="BF20" s="17">
        <f t="shared" si="12"/>
        <v>0.1206</v>
      </c>
      <c r="BG20" s="10">
        <f>AK20*0.061+0.525</f>
        <v>3.27</v>
      </c>
      <c r="BH20" s="17">
        <f t="shared" si="13"/>
        <v>0.65400000000000003</v>
      </c>
      <c r="BI20" s="10">
        <f>AK20*0.049-0.162</f>
        <v>2.0430000000000001</v>
      </c>
      <c r="BJ20" s="17">
        <f t="shared" si="14"/>
        <v>0.40860000000000002</v>
      </c>
      <c r="BK20" s="10">
        <f>AK20*0.077-0.043</f>
        <v>3.4219999999999997</v>
      </c>
      <c r="BL20" s="17">
        <f t="shared" si="15"/>
        <v>0.68440000000000001</v>
      </c>
      <c r="BM20" s="10">
        <f>AK20*0.046+0.053</f>
        <v>2.1229999999999998</v>
      </c>
      <c r="BN20" s="17">
        <f t="shared" si="16"/>
        <v>0.42459999999999998</v>
      </c>
      <c r="BO20" s="10">
        <v>0.32</v>
      </c>
      <c r="BP20" s="17">
        <f t="shared" si="17"/>
        <v>6.4000000000000001E-2</v>
      </c>
      <c r="BQ20" s="10">
        <v>0.61399999999999999</v>
      </c>
      <c r="BR20" s="17">
        <f t="shared" si="18"/>
        <v>0.12279999999999999</v>
      </c>
      <c r="BS20" s="10">
        <f>BQ20*0.323</f>
        <v>0.198322</v>
      </c>
      <c r="BT20" s="17">
        <f t="shared" si="19"/>
        <v>3.9664400000000002E-2</v>
      </c>
      <c r="BU20" s="12">
        <v>0.28999999999999998</v>
      </c>
      <c r="BV20" s="18">
        <f t="shared" si="20"/>
        <v>5.7999999999999996E-2</v>
      </c>
      <c r="BW20" s="10">
        <v>0.02</v>
      </c>
      <c r="BX20" s="17">
        <f t="shared" si="21"/>
        <v>4.0000000000000001E-3</v>
      </c>
      <c r="BY20" s="10">
        <v>2.0499999999999998</v>
      </c>
      <c r="BZ20" s="17">
        <f t="shared" si="22"/>
        <v>0.40999999999999992</v>
      </c>
      <c r="CA20" s="10">
        <v>0.04</v>
      </c>
      <c r="CB20" s="17">
        <f t="shared" si="23"/>
        <v>8.0000000000000002E-3</v>
      </c>
      <c r="CC20" s="10">
        <v>0.4</v>
      </c>
      <c r="CD20" s="14">
        <f t="shared" si="24"/>
        <v>0.08</v>
      </c>
      <c r="CE20" s="21">
        <f t="shared" si="25"/>
        <v>522.22</v>
      </c>
      <c r="CF20" s="14">
        <f t="shared" si="26"/>
        <v>104.444</v>
      </c>
      <c r="CG20" s="10">
        <v>2.7890000000000001</v>
      </c>
      <c r="CH20" s="17">
        <f t="shared" si="27"/>
        <v>0.55780000000000007</v>
      </c>
      <c r="CI20" s="10">
        <f>AO20*0.39825</f>
        <v>0.66547575000000003</v>
      </c>
      <c r="CJ20" s="14">
        <f t="shared" si="28"/>
        <v>0.13309515</v>
      </c>
      <c r="CK20" s="10">
        <v>0.09</v>
      </c>
      <c r="CL20" s="14">
        <f t="shared" si="29"/>
        <v>1.7999999999999999E-2</v>
      </c>
      <c r="CM20" s="10">
        <v>0</v>
      </c>
      <c r="CN20" s="14">
        <f t="shared" si="30"/>
        <v>0</v>
      </c>
      <c r="CO20" s="10">
        <v>10.161</v>
      </c>
      <c r="CP20" s="14">
        <f t="shared" si="31"/>
        <v>2.0322</v>
      </c>
      <c r="CQ20" s="10">
        <v>6.1749999999999998</v>
      </c>
      <c r="CR20" s="14">
        <f t="shared" si="32"/>
        <v>1.2349999999999999</v>
      </c>
      <c r="CS20" s="10">
        <v>8.9390000000000001</v>
      </c>
      <c r="CT20" s="14">
        <f t="shared" si="33"/>
        <v>1.7877999999999998</v>
      </c>
      <c r="CU20" s="10">
        <f t="shared" si="77"/>
        <v>31.22</v>
      </c>
      <c r="CV20" s="14">
        <f t="shared" si="35"/>
        <v>6.2439999999999998</v>
      </c>
      <c r="CW20" s="11">
        <v>88.887</v>
      </c>
      <c r="CX20" s="20">
        <f t="shared" si="36"/>
        <v>17.7774</v>
      </c>
      <c r="DC20" s="140"/>
      <c r="DD20" s="140"/>
      <c r="DE20" s="140"/>
      <c r="DF20" s="140"/>
      <c r="DG20" s="140"/>
      <c r="DH20" s="140"/>
      <c r="DI20" s="140"/>
      <c r="DJ20" s="140"/>
      <c r="DK20" s="140"/>
      <c r="DL20" s="140"/>
      <c r="DM20" s="140"/>
      <c r="DN20" s="140"/>
      <c r="DO20" s="140"/>
      <c r="DP20" s="140"/>
      <c r="DQ20" s="140"/>
      <c r="DR20" s="140"/>
      <c r="DS20" s="140"/>
      <c r="DT20" s="140"/>
      <c r="DU20" s="140"/>
      <c r="DV20" s="140"/>
      <c r="DW20" s="140"/>
      <c r="DX20" s="140"/>
      <c r="DY20" s="140"/>
      <c r="DZ20" s="140"/>
      <c r="EA20" s="140"/>
      <c r="EB20" s="140"/>
      <c r="EC20" s="140"/>
      <c r="ED20" s="140"/>
      <c r="EE20" s="140"/>
      <c r="EF20" s="140"/>
      <c r="EG20" s="140"/>
      <c r="EH20" s="140"/>
      <c r="EI20" s="140"/>
      <c r="EJ20" s="140"/>
      <c r="EK20" s="140"/>
      <c r="EL20" s="140"/>
      <c r="EM20" s="140"/>
      <c r="EN20" s="140"/>
      <c r="EO20" s="140"/>
      <c r="EP20" s="140"/>
      <c r="EQ20" s="140"/>
      <c r="ER20" s="140"/>
      <c r="ES20" s="140"/>
      <c r="ET20" s="140"/>
      <c r="EU20" s="140"/>
      <c r="EV20" s="140"/>
      <c r="EW20" s="140"/>
      <c r="EX20" s="140"/>
    </row>
    <row r="21" spans="1:154" s="1" customFormat="1" x14ac:dyDescent="0.3">
      <c r="A21" s="34"/>
      <c r="B21" s="61">
        <v>30000</v>
      </c>
      <c r="C21" s="56">
        <f t="shared" si="0"/>
        <v>0</v>
      </c>
      <c r="D21" s="76" t="s">
        <v>22</v>
      </c>
      <c r="E21" s="77">
        <f t="shared" si="37"/>
        <v>0</v>
      </c>
      <c r="F21" s="86">
        <v>0</v>
      </c>
      <c r="G21" s="86"/>
      <c r="H21" s="98"/>
      <c r="I21" s="99">
        <v>0</v>
      </c>
      <c r="J21" s="228">
        <f t="shared" si="38"/>
        <v>0</v>
      </c>
      <c r="K21" s="226">
        <f t="shared" si="39"/>
        <v>0</v>
      </c>
      <c r="L21" s="24"/>
      <c r="M21" s="83" t="s">
        <v>50</v>
      </c>
      <c r="N21" s="65" t="s">
        <v>43</v>
      </c>
      <c r="O21" s="65"/>
      <c r="P21" s="95"/>
      <c r="Q21" s="233">
        <f t="shared" si="40"/>
        <v>0</v>
      </c>
      <c r="R21" s="233">
        <f t="shared" si="41"/>
        <v>1000</v>
      </c>
      <c r="S21" s="65"/>
      <c r="T21" s="69">
        <f>SUM(BT5:BT41)</f>
        <v>0.56035185780047747</v>
      </c>
      <c r="U21" s="41"/>
      <c r="V21" s="113"/>
      <c r="W21" s="121"/>
      <c r="X21" s="250"/>
      <c r="Y21" s="121"/>
      <c r="Z21" s="250"/>
      <c r="AA21" s="121"/>
      <c r="AB21" s="250"/>
      <c r="AC21" s="121"/>
      <c r="AD21" s="250"/>
      <c r="AE21" s="121"/>
      <c r="AF21" s="116"/>
      <c r="AG21" s="36"/>
      <c r="AH21" s="59" t="s">
        <v>22</v>
      </c>
      <c r="AI21" s="31">
        <v>3490</v>
      </c>
      <c r="AJ21" s="25">
        <f t="shared" si="1"/>
        <v>0</v>
      </c>
      <c r="AK21" s="26">
        <v>60</v>
      </c>
      <c r="AL21" s="27">
        <f t="shared" si="2"/>
        <v>0</v>
      </c>
      <c r="AM21" s="26">
        <v>1.1499999999999999</v>
      </c>
      <c r="AN21" s="28">
        <f t="shared" si="3"/>
        <v>0</v>
      </c>
      <c r="AO21" s="26">
        <v>1.1499999999999999</v>
      </c>
      <c r="AP21" s="29">
        <f t="shared" si="4"/>
        <v>0</v>
      </c>
      <c r="AQ21" s="26">
        <v>0.78</v>
      </c>
      <c r="AR21" s="29">
        <f t="shared" si="5"/>
        <v>0</v>
      </c>
      <c r="AS21" s="26">
        <v>3.9</v>
      </c>
      <c r="AT21" s="29">
        <f t="shared" si="6"/>
        <v>0</v>
      </c>
      <c r="AU21" s="26">
        <v>5.92</v>
      </c>
      <c r="AV21" s="29">
        <f t="shared" si="7"/>
        <v>0</v>
      </c>
      <c r="AW21" s="26">
        <f>AK21*0.072-0.577</f>
        <v>3.7429999999999994</v>
      </c>
      <c r="AX21" s="30">
        <f t="shared" si="8"/>
        <v>0</v>
      </c>
      <c r="AY21" s="26">
        <f>AK21*0.016-0.124</f>
        <v>0.83599999999999997</v>
      </c>
      <c r="AZ21" s="30">
        <f t="shared" si="9"/>
        <v>0</v>
      </c>
      <c r="BA21" s="26">
        <f>AK21*0.028-0.065</f>
        <v>1.615</v>
      </c>
      <c r="BB21" s="30">
        <f t="shared" si="10"/>
        <v>0</v>
      </c>
      <c r="BC21" s="26">
        <f>AK21*0.042-0.145</f>
        <v>2.375</v>
      </c>
      <c r="BD21" s="30">
        <f t="shared" si="11"/>
        <v>0</v>
      </c>
      <c r="BE21" s="26">
        <f>AK21*0.011+0.127</f>
        <v>0.78699999999999992</v>
      </c>
      <c r="BF21" s="30">
        <f t="shared" si="12"/>
        <v>0</v>
      </c>
      <c r="BG21" s="26">
        <f>AK21*0.08-0.361</f>
        <v>4.4390000000000001</v>
      </c>
      <c r="BH21" s="30">
        <f t="shared" si="13"/>
        <v>0</v>
      </c>
      <c r="BI21" s="26">
        <f>AK21*0.045+0.091</f>
        <v>2.7909999999999999</v>
      </c>
      <c r="BJ21" s="30">
        <f t="shared" si="14"/>
        <v>0</v>
      </c>
      <c r="BK21" s="26">
        <f>AK21*0.083-0.285</f>
        <v>4.6950000000000003</v>
      </c>
      <c r="BL21" s="30">
        <f t="shared" si="15"/>
        <v>0</v>
      </c>
      <c r="BM21" s="26">
        <f>AK21*0.049-0.023</f>
        <v>2.9169999999999998</v>
      </c>
      <c r="BN21" s="30">
        <f t="shared" si="16"/>
        <v>0</v>
      </c>
      <c r="BO21" s="26">
        <v>0.34</v>
      </c>
      <c r="BP21" s="30">
        <f t="shared" si="17"/>
        <v>0</v>
      </c>
      <c r="BQ21" s="26">
        <v>0.68</v>
      </c>
      <c r="BR21" s="30">
        <f t="shared" si="18"/>
        <v>0</v>
      </c>
      <c r="BS21" s="26">
        <f>BQ21*0.323</f>
        <v>0.21964000000000003</v>
      </c>
      <c r="BT21" s="30">
        <f t="shared" si="19"/>
        <v>0</v>
      </c>
      <c r="BU21" s="26">
        <v>0.3</v>
      </c>
      <c r="BV21" s="30">
        <f t="shared" si="20"/>
        <v>0</v>
      </c>
      <c r="BW21" s="26">
        <v>0.02</v>
      </c>
      <c r="BX21" s="30">
        <f t="shared" si="21"/>
        <v>0</v>
      </c>
      <c r="BY21" s="26">
        <v>1.84</v>
      </c>
      <c r="BZ21" s="30">
        <f t="shared" si="22"/>
        <v>0</v>
      </c>
      <c r="CA21" s="26">
        <v>0.04</v>
      </c>
      <c r="CB21" s="30">
        <f t="shared" si="23"/>
        <v>0</v>
      </c>
      <c r="CC21" s="26">
        <v>0.56999999999999995</v>
      </c>
      <c r="CD21" s="29">
        <f t="shared" si="24"/>
        <v>0</v>
      </c>
      <c r="CE21" s="31">
        <f t="shared" si="25"/>
        <v>468.46000000000004</v>
      </c>
      <c r="CF21" s="29">
        <f t="shared" si="26"/>
        <v>0</v>
      </c>
      <c r="CG21" s="26">
        <v>3.0000000000000001E-3</v>
      </c>
      <c r="CH21" s="30">
        <f t="shared" si="27"/>
        <v>0</v>
      </c>
      <c r="CI21" s="26">
        <f>AO21*0.39825</f>
        <v>0.45798749999999994</v>
      </c>
      <c r="CJ21" s="29">
        <f t="shared" si="28"/>
        <v>0</v>
      </c>
      <c r="CK21" s="26">
        <v>0.09</v>
      </c>
      <c r="CL21" s="29">
        <f t="shared" si="29"/>
        <v>0</v>
      </c>
      <c r="CM21" s="26">
        <v>0</v>
      </c>
      <c r="CN21" s="29">
        <f t="shared" si="30"/>
        <v>0</v>
      </c>
      <c r="CO21" s="26">
        <v>15.53</v>
      </c>
      <c r="CP21" s="29">
        <f t="shared" si="31"/>
        <v>0</v>
      </c>
      <c r="CQ21" s="26">
        <v>6.69</v>
      </c>
      <c r="CR21" s="29">
        <f t="shared" si="32"/>
        <v>0</v>
      </c>
      <c r="CS21" s="26">
        <v>1.84</v>
      </c>
      <c r="CT21" s="29">
        <f t="shared" si="33"/>
        <v>0</v>
      </c>
      <c r="CU21" s="26">
        <f t="shared" si="77"/>
        <v>19.03</v>
      </c>
      <c r="CV21" s="29">
        <f t="shared" si="35"/>
        <v>0</v>
      </c>
      <c r="CW21" s="32">
        <v>90</v>
      </c>
      <c r="CX21" s="33">
        <f t="shared" si="36"/>
        <v>0</v>
      </c>
      <c r="CY21" s="34"/>
      <c r="CZ21" s="34"/>
      <c r="DA21" s="34"/>
      <c r="DB21" s="34"/>
      <c r="DC21" s="140"/>
      <c r="DD21" s="140"/>
      <c r="DE21" s="140"/>
      <c r="DF21" s="140"/>
      <c r="DG21" s="140"/>
      <c r="DH21" s="140"/>
      <c r="DI21" s="140"/>
      <c r="DJ21" s="140"/>
      <c r="DK21" s="140"/>
      <c r="DL21" s="140"/>
      <c r="DM21" s="140"/>
      <c r="DN21" s="140"/>
      <c r="DO21" s="140"/>
      <c r="DP21" s="140"/>
      <c r="DQ21" s="140"/>
      <c r="DR21" s="140"/>
      <c r="DS21" s="140"/>
      <c r="DT21" s="140"/>
      <c r="DU21" s="140"/>
      <c r="DV21" s="140"/>
      <c r="DW21" s="140"/>
      <c r="DX21" s="140"/>
      <c r="DY21" s="140"/>
      <c r="DZ21" s="140"/>
      <c r="EA21" s="140"/>
      <c r="EB21" s="140"/>
      <c r="EC21" s="140"/>
      <c r="ED21" s="140"/>
      <c r="EE21" s="140"/>
      <c r="EF21" s="140"/>
      <c r="EG21" s="140"/>
      <c r="EH21" s="140"/>
      <c r="EI21" s="140"/>
      <c r="EJ21" s="140"/>
      <c r="EK21" s="140"/>
      <c r="EL21" s="140"/>
      <c r="EM21" s="140"/>
      <c r="EN21" s="140"/>
      <c r="EO21" s="140"/>
      <c r="EP21" s="140"/>
      <c r="EQ21" s="140"/>
      <c r="ER21" s="140"/>
      <c r="ES21" s="140"/>
      <c r="ET21" s="140"/>
      <c r="EU21" s="140"/>
      <c r="EV21" s="140"/>
      <c r="EW21" s="140"/>
      <c r="EX21" s="140"/>
    </row>
    <row r="22" spans="1:154" s="34" customFormat="1" x14ac:dyDescent="0.3">
      <c r="B22" s="62">
        <v>52000</v>
      </c>
      <c r="C22" s="55">
        <f t="shared" si="0"/>
        <v>14334.687761616042</v>
      </c>
      <c r="D22" s="78" t="s">
        <v>23</v>
      </c>
      <c r="E22" s="79">
        <f t="shared" si="37"/>
        <v>275.66707233877003</v>
      </c>
      <c r="F22" s="87">
        <v>27.566707233877004</v>
      </c>
      <c r="G22" s="87"/>
      <c r="H22" s="100"/>
      <c r="I22" s="101"/>
      <c r="J22" s="228">
        <f t="shared" si="38"/>
        <v>0</v>
      </c>
      <c r="K22" s="226">
        <f t="shared" si="39"/>
        <v>100</v>
      </c>
      <c r="L22" s="24"/>
      <c r="M22" s="84" t="s">
        <v>51</v>
      </c>
      <c r="N22" s="66" t="s">
        <v>43</v>
      </c>
      <c r="O22" s="66"/>
      <c r="P22" s="96"/>
      <c r="Q22" s="234">
        <f t="shared" si="40"/>
        <v>0</v>
      </c>
      <c r="R22" s="234">
        <f t="shared" si="41"/>
        <v>1000</v>
      </c>
      <c r="S22" s="66"/>
      <c r="T22" s="68">
        <f>SUM(BX5:BX41)</f>
        <v>0.22636227494960806</v>
      </c>
      <c r="U22" s="41"/>
      <c r="V22" s="113"/>
      <c r="W22" s="120"/>
      <c r="X22" s="250"/>
      <c r="Y22" s="120"/>
      <c r="Z22" s="250"/>
      <c r="AA22" s="120"/>
      <c r="AB22" s="250"/>
      <c r="AC22" s="120"/>
      <c r="AD22" s="250"/>
      <c r="AE22" s="120"/>
      <c r="AF22" s="116"/>
      <c r="AG22" s="37"/>
      <c r="AH22" s="60" t="s">
        <v>23</v>
      </c>
      <c r="AI22" s="21">
        <v>4230</v>
      </c>
      <c r="AJ22" s="6">
        <f t="shared" si="1"/>
        <v>1166.0717159929973</v>
      </c>
      <c r="AK22" s="10">
        <v>57.561999999999998</v>
      </c>
      <c r="AL22" s="7">
        <f t="shared" si="2"/>
        <v>15.867948017964281</v>
      </c>
      <c r="AM22" s="10">
        <v>5.3280000000000003</v>
      </c>
      <c r="AN22" s="13">
        <f t="shared" si="3"/>
        <v>1.4687541614209667</v>
      </c>
      <c r="AO22" s="10">
        <v>5.3280000000000003</v>
      </c>
      <c r="AP22" s="14">
        <f t="shared" si="4"/>
        <v>1.4687541614209667</v>
      </c>
      <c r="AQ22" s="10">
        <v>13.659000000000001</v>
      </c>
      <c r="AR22" s="14">
        <f t="shared" si="5"/>
        <v>3.7653365410752606</v>
      </c>
      <c r="AS22" s="10">
        <v>0.78700000000000003</v>
      </c>
      <c r="AT22" s="14">
        <f t="shared" si="6"/>
        <v>0.21694998593061202</v>
      </c>
      <c r="AU22" s="10">
        <v>2.0920000000000001</v>
      </c>
      <c r="AV22" s="14">
        <f t="shared" si="7"/>
        <v>0.57669551533270691</v>
      </c>
      <c r="AW22" s="10">
        <f>AK22*0.0167</f>
        <v>0.96128539999999996</v>
      </c>
      <c r="AX22" s="17">
        <f t="shared" si="8"/>
        <v>0.26499473190000344</v>
      </c>
      <c r="AY22" s="10">
        <f>AK22*0.024-0.003</f>
        <v>1.3784880000000002</v>
      </c>
      <c r="AZ22" s="17">
        <f t="shared" si="9"/>
        <v>0.38000375121412644</v>
      </c>
      <c r="BA22" s="10">
        <f>AK22*0.038+0.218</f>
        <v>2.4053559999999998</v>
      </c>
      <c r="BB22" s="17">
        <f t="shared" si="10"/>
        <v>0.66307744645249445</v>
      </c>
      <c r="BC22" s="10">
        <f>AK22*0.031+0.117</f>
        <v>1.9014219999999999</v>
      </c>
      <c r="BD22" s="17">
        <f t="shared" si="11"/>
        <v>0.52415943602052872</v>
      </c>
      <c r="BE22" s="10">
        <f>AK22*0.005477</f>
        <v>0.31526707399999998</v>
      </c>
      <c r="BF22" s="17">
        <f t="shared" si="12"/>
        <v>8.6908751294390366E-2</v>
      </c>
      <c r="BG22" s="10">
        <f>AK22*0.025+0.391</f>
        <v>1.83005</v>
      </c>
      <c r="BH22" s="17">
        <f t="shared" si="13"/>
        <v>0.50448452573356617</v>
      </c>
      <c r="BI22" s="10">
        <f>AK22*0.042-0.161</f>
        <v>2.2566039999999998</v>
      </c>
      <c r="BJ22" s="17">
        <f t="shared" si="14"/>
        <v>0.62207141810795785</v>
      </c>
      <c r="BK22" s="10">
        <f>AK22*0.19-1.753</f>
        <v>9.1837799999999987</v>
      </c>
      <c r="BL22" s="17">
        <f t="shared" si="15"/>
        <v>2.5316657456033491</v>
      </c>
      <c r="BM22" s="10">
        <f>AK22*0.041+0.246</f>
        <v>2.606042</v>
      </c>
      <c r="BN22" s="17">
        <f t="shared" si="16"/>
        <v>0.71839996853187293</v>
      </c>
      <c r="BO22" s="10">
        <v>0.03</v>
      </c>
      <c r="BP22" s="17">
        <f t="shared" si="17"/>
        <v>8.2700121701631008E-3</v>
      </c>
      <c r="BQ22" s="10">
        <v>0.46710000000000002</v>
      </c>
      <c r="BR22" s="17">
        <f t="shared" si="18"/>
        <v>0.12876408948943949</v>
      </c>
      <c r="BS22" s="10">
        <f>BQ22*0.2</f>
        <v>9.3420000000000003E-2</v>
      </c>
      <c r="BT22" s="17">
        <f t="shared" si="19"/>
        <v>2.57528178978879E-2</v>
      </c>
      <c r="BU22" s="12">
        <v>0.08</v>
      </c>
      <c r="BV22" s="18">
        <f t="shared" si="20"/>
        <v>2.2053365787101605E-2</v>
      </c>
      <c r="BW22" s="10">
        <v>0.03</v>
      </c>
      <c r="BX22" s="17">
        <f t="shared" si="21"/>
        <v>8.2700121701631008E-3</v>
      </c>
      <c r="BY22" s="10">
        <v>0.14000000000000001</v>
      </c>
      <c r="BZ22" s="17">
        <f t="shared" si="22"/>
        <v>3.859339012742781E-2</v>
      </c>
      <c r="CA22" s="10">
        <v>7.0000000000000007E-2</v>
      </c>
      <c r="CB22" s="17">
        <f t="shared" si="23"/>
        <v>1.9296695063713905E-2</v>
      </c>
      <c r="CC22" s="10">
        <v>0.57999999999999996</v>
      </c>
      <c r="CD22" s="14">
        <f t="shared" si="24"/>
        <v>0.15988690195648661</v>
      </c>
      <c r="CE22" s="21">
        <f t="shared" si="25"/>
        <v>29.15</v>
      </c>
      <c r="CF22" s="14">
        <f t="shared" si="26"/>
        <v>8.0356951586751464</v>
      </c>
      <c r="CG22" s="10">
        <v>0.35699999999999998</v>
      </c>
      <c r="CH22" s="17">
        <f t="shared" si="27"/>
        <v>9.8413144824940901E-2</v>
      </c>
      <c r="CI22" s="10">
        <f>AO22*0.452</f>
        <v>2.4082560000000002</v>
      </c>
      <c r="CJ22" s="14">
        <f t="shared" si="28"/>
        <v>0.66387688096227704</v>
      </c>
      <c r="CK22" s="10">
        <v>0</v>
      </c>
      <c r="CL22" s="14">
        <f t="shared" si="29"/>
        <v>0</v>
      </c>
      <c r="CM22" s="10">
        <v>0</v>
      </c>
      <c r="CN22" s="14">
        <f t="shared" si="30"/>
        <v>0</v>
      </c>
      <c r="CO22" s="10">
        <v>8.4930000000000003</v>
      </c>
      <c r="CP22" s="14">
        <f t="shared" si="31"/>
        <v>2.3412404453731739</v>
      </c>
      <c r="CQ22" s="10">
        <v>6.2789999999999999</v>
      </c>
      <c r="CR22" s="14">
        <f t="shared" si="32"/>
        <v>1.7309135472151371</v>
      </c>
      <c r="CS22" s="10">
        <v>0.46</v>
      </c>
      <c r="CT22" s="14">
        <f t="shared" si="33"/>
        <v>0.12680685327583421</v>
      </c>
      <c r="CU22" s="10">
        <f t="shared" si="77"/>
        <v>26.964999999999989</v>
      </c>
      <c r="CV22" s="14">
        <f t="shared" si="35"/>
        <v>7.4333626056149313</v>
      </c>
      <c r="CW22" s="11">
        <v>92.733999999999995</v>
      </c>
      <c r="CX22" s="20">
        <f t="shared" si="36"/>
        <v>25.5637102862635</v>
      </c>
      <c r="DC22" s="140"/>
      <c r="DD22" s="140"/>
      <c r="DE22" s="140"/>
      <c r="DF22" s="140"/>
      <c r="DG22" s="140"/>
      <c r="DH22" s="140"/>
      <c r="DI22" s="140"/>
      <c r="DJ22" s="140"/>
      <c r="DK22" s="140"/>
      <c r="DL22" s="140"/>
      <c r="DM22" s="140"/>
      <c r="DN22" s="140"/>
      <c r="DO22" s="140"/>
      <c r="DP22" s="140"/>
      <c r="DQ22" s="140"/>
      <c r="DR22" s="140"/>
      <c r="DS22" s="140"/>
      <c r="DT22" s="140"/>
      <c r="DU22" s="140"/>
      <c r="DV22" s="140"/>
      <c r="DW22" s="140"/>
      <c r="DX22" s="140"/>
      <c r="DY22" s="140"/>
      <c r="DZ22" s="140"/>
      <c r="EA22" s="140"/>
      <c r="EB22" s="140"/>
      <c r="EC22" s="140"/>
      <c r="ED22" s="140"/>
      <c r="EE22" s="140"/>
      <c r="EF22" s="140"/>
      <c r="EG22" s="140"/>
      <c r="EH22" s="140"/>
      <c r="EI22" s="140"/>
      <c r="EJ22" s="140"/>
      <c r="EK22" s="140"/>
      <c r="EL22" s="140"/>
      <c r="EM22" s="140"/>
      <c r="EN22" s="140"/>
      <c r="EO22" s="140"/>
      <c r="EP22" s="140"/>
      <c r="EQ22" s="140"/>
      <c r="ER22" s="140"/>
      <c r="ES22" s="140"/>
      <c r="ET22" s="140"/>
      <c r="EU22" s="140"/>
      <c r="EV22" s="140"/>
      <c r="EW22" s="140"/>
      <c r="EX22" s="140"/>
    </row>
    <row r="23" spans="1:154" s="34" customFormat="1" x14ac:dyDescent="0.3">
      <c r="B23" s="61">
        <v>80000</v>
      </c>
      <c r="C23" s="56">
        <f t="shared" si="0"/>
        <v>0</v>
      </c>
      <c r="D23" s="76" t="s">
        <v>24</v>
      </c>
      <c r="E23" s="77">
        <f t="shared" si="37"/>
        <v>0</v>
      </c>
      <c r="F23" s="86">
        <v>0</v>
      </c>
      <c r="G23" s="86"/>
      <c r="H23" s="98"/>
      <c r="I23" s="99">
        <v>0</v>
      </c>
      <c r="J23" s="228">
        <f t="shared" si="38"/>
        <v>0</v>
      </c>
      <c r="K23" s="226">
        <f t="shared" si="39"/>
        <v>0</v>
      </c>
      <c r="L23" s="24"/>
      <c r="M23" s="83" t="s">
        <v>52</v>
      </c>
      <c r="N23" s="65" t="s">
        <v>43</v>
      </c>
      <c r="O23" s="65"/>
      <c r="P23" s="95"/>
      <c r="Q23" s="233">
        <f t="shared" si="40"/>
        <v>0</v>
      </c>
      <c r="R23" s="233">
        <f t="shared" si="41"/>
        <v>1000</v>
      </c>
      <c r="S23" s="65"/>
      <c r="T23" s="69">
        <f>SUM(BZ5:BZ41)</f>
        <v>0.74961536842600662</v>
      </c>
      <c r="U23" s="41"/>
      <c r="V23" s="113"/>
      <c r="W23" s="121"/>
      <c r="X23" s="250"/>
      <c r="Y23" s="121"/>
      <c r="Z23" s="250"/>
      <c r="AA23" s="121"/>
      <c r="AB23" s="250"/>
      <c r="AC23" s="121"/>
      <c r="AD23" s="250"/>
      <c r="AE23" s="121"/>
      <c r="AF23" s="116"/>
      <c r="AG23" s="24"/>
      <c r="AH23" s="59" t="s">
        <v>24</v>
      </c>
      <c r="AI23" s="31">
        <v>3820</v>
      </c>
      <c r="AJ23" s="25">
        <f t="shared" si="1"/>
        <v>0</v>
      </c>
      <c r="AK23" s="26">
        <v>63.377000000000002</v>
      </c>
      <c r="AL23" s="27">
        <f t="shared" si="2"/>
        <v>0</v>
      </c>
      <c r="AM23" s="26">
        <v>2.95</v>
      </c>
      <c r="AN23" s="28">
        <f t="shared" si="3"/>
        <v>0</v>
      </c>
      <c r="AO23" s="26">
        <v>2.95</v>
      </c>
      <c r="AP23" s="29">
        <f t="shared" si="4"/>
        <v>0</v>
      </c>
      <c r="AQ23" s="26">
        <v>7.87</v>
      </c>
      <c r="AR23" s="29">
        <f t="shared" si="5"/>
        <v>0</v>
      </c>
      <c r="AS23" s="26">
        <v>0.47</v>
      </c>
      <c r="AT23" s="29">
        <f t="shared" si="6"/>
        <v>0</v>
      </c>
      <c r="AU23" s="26">
        <v>0.96</v>
      </c>
      <c r="AV23" s="29">
        <f t="shared" si="7"/>
        <v>0</v>
      </c>
      <c r="AW23" s="26">
        <f>AK23*0.0159</f>
        <v>1.0076943</v>
      </c>
      <c r="AX23" s="30">
        <f t="shared" si="8"/>
        <v>0</v>
      </c>
      <c r="AY23" s="26">
        <f>AK23*0.012+0.229</f>
        <v>0.98952400000000007</v>
      </c>
      <c r="AZ23" s="30">
        <f t="shared" si="9"/>
        <v>0</v>
      </c>
      <c r="BA23" s="26">
        <f>AK23*0.0361</f>
        <v>2.2879097000000002</v>
      </c>
      <c r="BB23" s="30">
        <f t="shared" si="10"/>
        <v>0</v>
      </c>
      <c r="BC23" s="26">
        <f>AK23*0.016+0.644</f>
        <v>1.658032</v>
      </c>
      <c r="BD23" s="30">
        <f t="shared" si="11"/>
        <v>0</v>
      </c>
      <c r="BE23" s="26">
        <f>AK23*0.007+0.216</f>
        <v>0.65963899999999998</v>
      </c>
      <c r="BF23" s="30">
        <f t="shared" si="12"/>
        <v>0</v>
      </c>
      <c r="BG23" s="26">
        <f>AK23*0.0344</f>
        <v>2.1801688000000001</v>
      </c>
      <c r="BH23" s="30">
        <f t="shared" si="13"/>
        <v>0</v>
      </c>
      <c r="BI23" s="26">
        <f>AK23*0.031+ 0.344</f>
        <v>2.3086869999999999</v>
      </c>
      <c r="BJ23" s="30">
        <f t="shared" si="14"/>
        <v>0</v>
      </c>
      <c r="BK23" s="26">
        <f>AK23*0.052+1.184</f>
        <v>4.4796040000000001</v>
      </c>
      <c r="BL23" s="30">
        <f t="shared" si="15"/>
        <v>0</v>
      </c>
      <c r="BM23" s="26">
        <f>AK23*0.03+0.625</f>
        <v>2.5263100000000001</v>
      </c>
      <c r="BN23" s="30">
        <f t="shared" si="16"/>
        <v>0</v>
      </c>
      <c r="BO23" s="26">
        <v>0.06</v>
      </c>
      <c r="BP23" s="30">
        <f t="shared" si="17"/>
        <v>0</v>
      </c>
      <c r="BQ23" s="26">
        <v>0.17</v>
      </c>
      <c r="BR23" s="30">
        <f t="shared" si="18"/>
        <v>0</v>
      </c>
      <c r="BS23" s="26">
        <f>BQ23*0.31</f>
        <v>5.2700000000000004E-2</v>
      </c>
      <c r="BT23" s="30">
        <f t="shared" si="19"/>
        <v>0</v>
      </c>
      <c r="BU23" s="26">
        <v>0.04</v>
      </c>
      <c r="BV23" s="30">
        <f t="shared" si="20"/>
        <v>0</v>
      </c>
      <c r="BW23" s="26">
        <v>0.09</v>
      </c>
      <c r="BX23" s="30">
        <f t="shared" si="21"/>
        <v>0</v>
      </c>
      <c r="BY23" s="26">
        <v>0.09</v>
      </c>
      <c r="BZ23" s="30">
        <f t="shared" si="22"/>
        <v>0</v>
      </c>
      <c r="CA23" s="26">
        <v>0.11</v>
      </c>
      <c r="CB23" s="30">
        <f t="shared" si="23"/>
        <v>0</v>
      </c>
      <c r="CC23" s="26">
        <v>0.65</v>
      </c>
      <c r="CD23" s="29">
        <f t="shared" si="24"/>
        <v>0</v>
      </c>
      <c r="CE23" s="31">
        <f t="shared" si="25"/>
        <v>31.169999999999998</v>
      </c>
      <c r="CF23" s="29">
        <f t="shared" si="26"/>
        <v>0</v>
      </c>
      <c r="CG23" s="26">
        <v>0</v>
      </c>
      <c r="CH23" s="30">
        <f t="shared" si="27"/>
        <v>0</v>
      </c>
      <c r="CI23" s="26">
        <f>AO23*0.3701</f>
        <v>1.0917950000000001</v>
      </c>
      <c r="CJ23" s="29">
        <f t="shared" si="28"/>
        <v>0</v>
      </c>
      <c r="CK23" s="26">
        <v>0</v>
      </c>
      <c r="CL23" s="29">
        <f t="shared" si="29"/>
        <v>0</v>
      </c>
      <c r="CM23" s="26">
        <v>0</v>
      </c>
      <c r="CN23" s="29">
        <f t="shared" si="30"/>
        <v>0</v>
      </c>
      <c r="CO23" s="26">
        <v>36.840000000000003</v>
      </c>
      <c r="CP23" s="29">
        <f t="shared" si="31"/>
        <v>0</v>
      </c>
      <c r="CQ23" s="26">
        <v>3.35</v>
      </c>
      <c r="CR23" s="29">
        <f t="shared" si="32"/>
        <v>0</v>
      </c>
      <c r="CS23" s="26">
        <v>1.35</v>
      </c>
      <c r="CT23" s="29">
        <f t="shared" si="33"/>
        <v>0</v>
      </c>
      <c r="CU23" s="26">
        <f t="shared" si="77"/>
        <v>25.301000000000016</v>
      </c>
      <c r="CV23" s="29">
        <f t="shared" si="35"/>
        <v>0</v>
      </c>
      <c r="CW23" s="32">
        <v>93.058000000000007</v>
      </c>
      <c r="CX23" s="33">
        <f t="shared" si="36"/>
        <v>0</v>
      </c>
      <c r="DC23" s="140"/>
      <c r="DD23" s="140"/>
      <c r="DE23" s="140"/>
      <c r="DF23" s="140"/>
      <c r="DG23" s="140"/>
      <c r="DH23" s="140"/>
      <c r="DI23" s="140"/>
      <c r="DJ23" s="140"/>
      <c r="DK23" s="140"/>
      <c r="DL23" s="140"/>
      <c r="DM23" s="140"/>
      <c r="DN23" s="140"/>
      <c r="DO23" s="140"/>
      <c r="DP23" s="140"/>
      <c r="DQ23" s="140"/>
      <c r="DR23" s="140"/>
      <c r="DS23" s="140"/>
      <c r="DT23" s="140"/>
      <c r="DU23" s="140"/>
      <c r="DV23" s="140"/>
      <c r="DW23" s="140"/>
      <c r="DX23" s="140"/>
      <c r="DY23" s="140"/>
      <c r="DZ23" s="140"/>
      <c r="EA23" s="140"/>
      <c r="EB23" s="140"/>
      <c r="EC23" s="140"/>
      <c r="ED23" s="140"/>
      <c r="EE23" s="140"/>
      <c r="EF23" s="140"/>
      <c r="EG23" s="140"/>
      <c r="EH23" s="140"/>
      <c r="EI23" s="140"/>
      <c r="EJ23" s="140"/>
      <c r="EK23" s="140"/>
      <c r="EL23" s="140"/>
      <c r="EM23" s="140"/>
      <c r="EN23" s="140"/>
      <c r="EO23" s="140"/>
      <c r="EP23" s="140"/>
      <c r="EQ23" s="140"/>
      <c r="ER23" s="140"/>
      <c r="ES23" s="140"/>
      <c r="ET23" s="140"/>
      <c r="EU23" s="140"/>
      <c r="EV23" s="140"/>
      <c r="EW23" s="140"/>
      <c r="EX23" s="140"/>
    </row>
    <row r="24" spans="1:154" s="1" customFormat="1" x14ac:dyDescent="0.3">
      <c r="A24" s="34"/>
      <c r="B24" s="62">
        <v>10000</v>
      </c>
      <c r="C24" s="55">
        <f t="shared" si="0"/>
        <v>0</v>
      </c>
      <c r="D24" s="78" t="s">
        <v>25</v>
      </c>
      <c r="E24" s="79">
        <f t="shared" si="37"/>
        <v>0</v>
      </c>
      <c r="F24" s="87">
        <v>0</v>
      </c>
      <c r="G24" s="87"/>
      <c r="H24" s="100"/>
      <c r="I24" s="101"/>
      <c r="J24" s="228">
        <f t="shared" si="38"/>
        <v>0</v>
      </c>
      <c r="K24" s="226">
        <f t="shared" si="39"/>
        <v>100</v>
      </c>
      <c r="L24" s="24"/>
      <c r="M24" s="84" t="s">
        <v>53</v>
      </c>
      <c r="N24" s="66" t="s">
        <v>43</v>
      </c>
      <c r="O24" s="66"/>
      <c r="P24" s="96"/>
      <c r="Q24" s="234">
        <f t="shared" si="40"/>
        <v>0</v>
      </c>
      <c r="R24" s="234">
        <f t="shared" si="41"/>
        <v>1000</v>
      </c>
      <c r="S24" s="66"/>
      <c r="T24" s="68">
        <f>SUM(CB5:CB41)</f>
        <v>0.3505732498051769</v>
      </c>
      <c r="U24" s="41"/>
      <c r="V24" s="113"/>
      <c r="W24" s="120"/>
      <c r="X24" s="250"/>
      <c r="Y24" s="120"/>
      <c r="Z24" s="250"/>
      <c r="AA24" s="120"/>
      <c r="AB24" s="250"/>
      <c r="AC24" s="120"/>
      <c r="AD24" s="250"/>
      <c r="AE24" s="120"/>
      <c r="AF24" s="116"/>
      <c r="AG24" s="24"/>
      <c r="AH24" s="60" t="s">
        <v>25</v>
      </c>
      <c r="AI24" s="21">
        <v>1300</v>
      </c>
      <c r="AJ24" s="6">
        <f t="shared" si="1"/>
        <v>0</v>
      </c>
      <c r="AK24" s="10">
        <v>14.531000000000001</v>
      </c>
      <c r="AL24" s="7">
        <f t="shared" si="2"/>
        <v>0</v>
      </c>
      <c r="AM24" s="10">
        <v>4.0199999999999996</v>
      </c>
      <c r="AN24" s="13">
        <f t="shared" si="3"/>
        <v>0</v>
      </c>
      <c r="AO24" s="10">
        <v>4.0199999999999996</v>
      </c>
      <c r="AP24" s="14">
        <f t="shared" si="4"/>
        <v>0</v>
      </c>
      <c r="AQ24" s="10">
        <v>19.806999999999999</v>
      </c>
      <c r="AR24" s="14">
        <f t="shared" si="5"/>
        <v>0</v>
      </c>
      <c r="AS24" s="10">
        <v>8.2899999999999991</v>
      </c>
      <c r="AT24" s="14">
        <f t="shared" si="6"/>
        <v>0</v>
      </c>
      <c r="AU24" s="10">
        <v>5.0640000000000001</v>
      </c>
      <c r="AV24" s="14">
        <f t="shared" si="7"/>
        <v>0</v>
      </c>
      <c r="AW24" s="10">
        <f>AK24*0.037+0.042</f>
        <v>0.57964700000000002</v>
      </c>
      <c r="AX24" s="17">
        <f t="shared" si="8"/>
        <v>0</v>
      </c>
      <c r="AY24" s="10">
        <f>AK24*0.014+0.005</f>
        <v>0.20843400000000001</v>
      </c>
      <c r="AZ24" s="17">
        <f t="shared" si="9"/>
        <v>0</v>
      </c>
      <c r="BA24" s="10">
        <f>AK24*0.034+0.016</f>
        <v>0.51005400000000001</v>
      </c>
      <c r="BB24" s="17">
        <f t="shared" si="10"/>
        <v>0</v>
      </c>
      <c r="BC24" s="10">
        <f>AK24*0.029+0.04</f>
        <v>0.461399</v>
      </c>
      <c r="BD24" s="17">
        <f t="shared" si="11"/>
        <v>0</v>
      </c>
      <c r="BE24" s="10">
        <f>AK24*0.014+0.019</f>
        <v>0.22243399999999999</v>
      </c>
      <c r="BF24" s="17">
        <f t="shared" si="12"/>
        <v>0</v>
      </c>
      <c r="BG24" s="10">
        <f>AK24*0.075-0.012</f>
        <v>1.077825</v>
      </c>
      <c r="BH24" s="17">
        <f t="shared" si="13"/>
        <v>0</v>
      </c>
      <c r="BI24" s="10">
        <f>AK24*0.03+0.003</f>
        <v>0.43892999999999999</v>
      </c>
      <c r="BJ24" s="17">
        <f t="shared" si="14"/>
        <v>0</v>
      </c>
      <c r="BK24" s="10">
        <f>AK24*0.058+0.018</f>
        <v>0.86079800000000006</v>
      </c>
      <c r="BL24" s="17">
        <f t="shared" si="15"/>
        <v>0</v>
      </c>
      <c r="BM24" s="10">
        <f>AK24*0.044+0.018</f>
        <v>0.65736400000000006</v>
      </c>
      <c r="BN24" s="17">
        <f t="shared" si="16"/>
        <v>0</v>
      </c>
      <c r="BO24" s="10">
        <v>0.09</v>
      </c>
      <c r="BP24" s="17">
        <f t="shared" si="17"/>
        <v>0</v>
      </c>
      <c r="BQ24" s="10">
        <v>0.90280000000000005</v>
      </c>
      <c r="BR24" s="17">
        <f t="shared" si="18"/>
        <v>0</v>
      </c>
      <c r="BS24" s="10">
        <f>BQ24*0.326</f>
        <v>0.29431280000000004</v>
      </c>
      <c r="BT24" s="17">
        <f t="shared" si="19"/>
        <v>0</v>
      </c>
      <c r="BU24" s="12">
        <v>0.38</v>
      </c>
      <c r="BV24" s="18">
        <f t="shared" si="20"/>
        <v>0</v>
      </c>
      <c r="BW24" s="10">
        <v>0.01</v>
      </c>
      <c r="BX24" s="17">
        <f t="shared" si="21"/>
        <v>0</v>
      </c>
      <c r="BY24" s="10">
        <v>1.06</v>
      </c>
      <c r="BZ24" s="17">
        <f t="shared" si="22"/>
        <v>0</v>
      </c>
      <c r="CA24" s="10">
        <v>0.09</v>
      </c>
      <c r="CB24" s="17">
        <f t="shared" si="23"/>
        <v>0</v>
      </c>
      <c r="CC24" s="10">
        <v>0.19</v>
      </c>
      <c r="CD24" s="14">
        <f t="shared" si="24"/>
        <v>0</v>
      </c>
      <c r="CE24" s="21">
        <f>(BW24*435)+(BY24*256)-(CA24*282)</f>
        <v>250.33000000000004</v>
      </c>
      <c r="CF24" s="14">
        <f t="shared" si="26"/>
        <v>0</v>
      </c>
      <c r="CG24" s="10">
        <v>0.73599999999999999</v>
      </c>
      <c r="CH24" s="17">
        <f t="shared" si="27"/>
        <v>0</v>
      </c>
      <c r="CI24" s="10">
        <f>AO24*0.4512</f>
        <v>1.8138239999999997</v>
      </c>
      <c r="CJ24" s="14">
        <f t="shared" si="28"/>
        <v>0</v>
      </c>
      <c r="CK24" s="10">
        <v>0</v>
      </c>
      <c r="CL24" s="14">
        <f t="shared" si="29"/>
        <v>0</v>
      </c>
      <c r="CM24" s="10">
        <v>0</v>
      </c>
      <c r="CN24" s="14">
        <f t="shared" si="30"/>
        <v>0</v>
      </c>
      <c r="CO24" s="10">
        <v>38.31</v>
      </c>
      <c r="CP24" s="14">
        <f t="shared" si="31"/>
        <v>0</v>
      </c>
      <c r="CQ24" s="10">
        <v>11.108000000000001</v>
      </c>
      <c r="CR24" s="14">
        <f t="shared" si="32"/>
        <v>0</v>
      </c>
      <c r="CS24" s="10">
        <v>4.6479999999999997</v>
      </c>
      <c r="CT24" s="14">
        <f t="shared" si="33"/>
        <v>0</v>
      </c>
      <c r="CU24" s="10">
        <f t="shared" si="77"/>
        <v>57.567999999999998</v>
      </c>
      <c r="CV24" s="14">
        <f t="shared" si="35"/>
        <v>0</v>
      </c>
      <c r="CW24" s="11">
        <v>89.472999999999999</v>
      </c>
      <c r="CX24" s="20">
        <f t="shared" si="36"/>
        <v>0</v>
      </c>
      <c r="CY24" s="34"/>
      <c r="CZ24" s="34"/>
      <c r="DA24" s="34"/>
      <c r="DB24" s="34"/>
      <c r="DC24" s="140"/>
      <c r="DD24" s="140"/>
      <c r="DE24" s="140"/>
      <c r="DF24" s="140"/>
      <c r="DG24" s="140"/>
      <c r="DH24" s="140"/>
      <c r="DI24" s="140"/>
      <c r="DJ24" s="140"/>
      <c r="DK24" s="140"/>
      <c r="DL24" s="140"/>
      <c r="DM24" s="140"/>
      <c r="DN24" s="140"/>
      <c r="DO24" s="140"/>
      <c r="DP24" s="140"/>
      <c r="DQ24" s="140"/>
      <c r="DR24" s="140"/>
      <c r="DS24" s="140"/>
      <c r="DT24" s="140"/>
      <c r="DU24" s="140"/>
      <c r="DV24" s="140"/>
      <c r="DW24" s="140"/>
      <c r="DX24" s="140"/>
      <c r="DY24" s="140"/>
      <c r="DZ24" s="140"/>
      <c r="EA24" s="140"/>
      <c r="EB24" s="140"/>
      <c r="EC24" s="140"/>
      <c r="ED24" s="140"/>
      <c r="EE24" s="140"/>
      <c r="EF24" s="140"/>
      <c r="EG24" s="140"/>
      <c r="EH24" s="140"/>
      <c r="EI24" s="140"/>
      <c r="EJ24" s="140"/>
      <c r="EK24" s="140"/>
      <c r="EL24" s="140"/>
      <c r="EM24" s="140"/>
      <c r="EN24" s="140"/>
      <c r="EO24" s="140"/>
      <c r="EP24" s="140"/>
      <c r="EQ24" s="140"/>
      <c r="ER24" s="140"/>
      <c r="ES24" s="140"/>
      <c r="ET24" s="140"/>
      <c r="EU24" s="140"/>
      <c r="EV24" s="140"/>
      <c r="EW24" s="140"/>
      <c r="EX24" s="140"/>
    </row>
    <row r="25" spans="1:154" s="34" customFormat="1" x14ac:dyDescent="0.3">
      <c r="B25" s="61">
        <v>10000</v>
      </c>
      <c r="C25" s="56">
        <f t="shared" si="0"/>
        <v>0</v>
      </c>
      <c r="D25" s="76" t="s">
        <v>26</v>
      </c>
      <c r="E25" s="77">
        <f t="shared" si="37"/>
        <v>0</v>
      </c>
      <c r="F25" s="86">
        <v>0</v>
      </c>
      <c r="G25" s="86"/>
      <c r="H25" s="98"/>
      <c r="I25" s="99">
        <v>0</v>
      </c>
      <c r="J25" s="228">
        <f t="shared" si="38"/>
        <v>0</v>
      </c>
      <c r="K25" s="226">
        <f t="shared" si="39"/>
        <v>0</v>
      </c>
      <c r="L25" s="24"/>
      <c r="M25" s="83" t="s">
        <v>121</v>
      </c>
      <c r="N25" s="65" t="s">
        <v>43</v>
      </c>
      <c r="O25" s="65"/>
      <c r="P25" s="95"/>
      <c r="Q25" s="233">
        <f t="shared" si="40"/>
        <v>0</v>
      </c>
      <c r="R25" s="233">
        <f t="shared" si="41"/>
        <v>1000</v>
      </c>
      <c r="S25" s="65"/>
      <c r="T25" s="69">
        <f>SUM(CJ5:CJ41)</f>
        <v>0.95857977754501067</v>
      </c>
      <c r="U25" s="41"/>
      <c r="V25" s="113"/>
      <c r="W25" s="121"/>
      <c r="X25" s="250"/>
      <c r="Y25" s="121"/>
      <c r="Z25" s="250"/>
      <c r="AA25" s="121"/>
      <c r="AB25" s="250"/>
      <c r="AC25" s="121"/>
      <c r="AD25" s="250"/>
      <c r="AE25" s="121"/>
      <c r="AF25" s="116"/>
      <c r="AG25" s="24"/>
      <c r="AH25" s="59" t="s">
        <v>26</v>
      </c>
      <c r="AI25" s="31">
        <v>1200</v>
      </c>
      <c r="AJ25" s="25">
        <f t="shared" si="1"/>
        <v>0</v>
      </c>
      <c r="AK25" s="26">
        <v>10.706</v>
      </c>
      <c r="AL25" s="27">
        <f t="shared" si="2"/>
        <v>0</v>
      </c>
      <c r="AM25" s="26">
        <v>0.15</v>
      </c>
      <c r="AN25" s="28">
        <f t="shared" si="3"/>
        <v>0</v>
      </c>
      <c r="AO25" s="26">
        <v>0.15</v>
      </c>
      <c r="AP25" s="29">
        <f t="shared" si="4"/>
        <v>0</v>
      </c>
      <c r="AQ25" s="26">
        <v>0</v>
      </c>
      <c r="AR25" s="29">
        <f t="shared" si="5"/>
        <v>0</v>
      </c>
      <c r="AS25" s="26">
        <v>0</v>
      </c>
      <c r="AT25" s="29">
        <f t="shared" si="6"/>
        <v>0</v>
      </c>
      <c r="AU25" s="26">
        <v>9.58</v>
      </c>
      <c r="AV25" s="29">
        <f t="shared" si="7"/>
        <v>0</v>
      </c>
      <c r="AW25" s="26">
        <f>AK25*0.015</f>
        <v>0.16058999999999998</v>
      </c>
      <c r="AX25" s="30">
        <f t="shared" si="8"/>
        <v>0</v>
      </c>
      <c r="AY25" s="26">
        <f>AK25*0.002</f>
        <v>2.1412E-2</v>
      </c>
      <c r="AZ25" s="30">
        <f t="shared" si="9"/>
        <v>0</v>
      </c>
      <c r="BA25" s="26">
        <f>AK25*0.009</f>
        <v>9.6353999999999995E-2</v>
      </c>
      <c r="BB25" s="30">
        <f t="shared" si="10"/>
        <v>0</v>
      </c>
      <c r="BC25" s="26">
        <f>AK25*0.007</f>
        <v>7.4941999999999995E-2</v>
      </c>
      <c r="BD25" s="30">
        <f t="shared" si="11"/>
        <v>0</v>
      </c>
      <c r="BE25" s="26">
        <f>AK25*0.008</f>
        <v>8.5648000000000002E-2</v>
      </c>
      <c r="BF25" s="30">
        <f t="shared" si="12"/>
        <v>0</v>
      </c>
      <c r="BG25" s="26">
        <f>AK25*0.008</f>
        <v>8.5648000000000002E-2</v>
      </c>
      <c r="BH25" s="30">
        <f t="shared" si="13"/>
        <v>0</v>
      </c>
      <c r="BI25" s="26">
        <f>AK25*0.026</f>
        <v>0.27835599999999999</v>
      </c>
      <c r="BJ25" s="30">
        <f t="shared" si="14"/>
        <v>0</v>
      </c>
      <c r="BK25" s="26">
        <f>AK25*0.026</f>
        <v>0.27835599999999999</v>
      </c>
      <c r="BL25" s="30">
        <f t="shared" si="15"/>
        <v>0</v>
      </c>
      <c r="BM25" s="26">
        <f>AK25*0.018</f>
        <v>0.19270799999999999</v>
      </c>
      <c r="BN25" s="30">
        <f t="shared" si="16"/>
        <v>0</v>
      </c>
      <c r="BO25" s="26">
        <v>0.09</v>
      </c>
      <c r="BP25" s="30">
        <f t="shared" si="17"/>
        <v>0</v>
      </c>
      <c r="BQ25" s="26">
        <v>2.1999999999999999E-2</v>
      </c>
      <c r="BR25" s="30">
        <f t="shared" si="18"/>
        <v>0</v>
      </c>
      <c r="BS25" s="26">
        <f t="shared" ref="BS25" si="78">BQ25*0.3</f>
        <v>6.5999999999999991E-3</v>
      </c>
      <c r="BT25" s="30">
        <f t="shared" si="19"/>
        <v>0</v>
      </c>
      <c r="BU25" s="26">
        <v>0.23</v>
      </c>
      <c r="BV25" s="30">
        <f t="shared" si="20"/>
        <v>0</v>
      </c>
      <c r="BW25" s="26">
        <v>0.52100000000000002</v>
      </c>
      <c r="BX25" s="30">
        <f t="shared" si="21"/>
        <v>0</v>
      </c>
      <c r="BY25" s="26">
        <v>3.86</v>
      </c>
      <c r="BZ25" s="30">
        <f t="shared" si="22"/>
        <v>0</v>
      </c>
      <c r="CA25" s="26">
        <v>0.4</v>
      </c>
      <c r="CB25" s="30">
        <f t="shared" si="23"/>
        <v>0</v>
      </c>
      <c r="CC25" s="26">
        <v>0.42199999999999999</v>
      </c>
      <c r="CD25" s="29">
        <f t="shared" si="24"/>
        <v>0</v>
      </c>
      <c r="CE25" s="31">
        <f>(BW25*435)+(BY25*256)-(CA25*282)</f>
        <v>1101.9950000000001</v>
      </c>
      <c r="CF25" s="29">
        <f t="shared" si="26"/>
        <v>0</v>
      </c>
      <c r="CG25" s="26">
        <v>0</v>
      </c>
      <c r="CH25" s="30">
        <f t="shared" si="27"/>
        <v>0</v>
      </c>
      <c r="CI25" s="26">
        <f>AO25*0.22</f>
        <v>3.3000000000000002E-2</v>
      </c>
      <c r="CJ25" s="29">
        <f t="shared" si="28"/>
        <v>0</v>
      </c>
      <c r="CK25" s="26">
        <v>0</v>
      </c>
      <c r="CL25" s="29">
        <f t="shared" si="29"/>
        <v>0</v>
      </c>
      <c r="CM25" s="26">
        <v>0</v>
      </c>
      <c r="CN25" s="29">
        <f t="shared" si="30"/>
        <v>0</v>
      </c>
      <c r="CO25" s="26">
        <v>0</v>
      </c>
      <c r="CP25" s="29">
        <f t="shared" si="31"/>
        <v>0</v>
      </c>
      <c r="CQ25" s="26">
        <v>0</v>
      </c>
      <c r="CR25" s="29">
        <f t="shared" si="32"/>
        <v>0</v>
      </c>
      <c r="CS25" s="26">
        <v>47.8</v>
      </c>
      <c r="CT25" s="29">
        <f t="shared" si="33"/>
        <v>0</v>
      </c>
      <c r="CU25" s="26">
        <f t="shared" si="77"/>
        <v>54.964000000000006</v>
      </c>
      <c r="CV25" s="29">
        <f t="shared" si="35"/>
        <v>0</v>
      </c>
      <c r="CW25" s="32">
        <v>75.400000000000006</v>
      </c>
      <c r="CX25" s="33">
        <f t="shared" si="36"/>
        <v>0</v>
      </c>
      <c r="DC25" s="140"/>
      <c r="DD25" s="140"/>
      <c r="DE25" s="140"/>
      <c r="DF25" s="140"/>
      <c r="DG25" s="140"/>
      <c r="DH25" s="140"/>
      <c r="DI25" s="140"/>
      <c r="DJ25" s="140"/>
      <c r="DK25" s="140"/>
      <c r="DL25" s="140"/>
      <c r="DM25" s="140"/>
      <c r="DN25" s="140"/>
      <c r="DO25" s="140"/>
      <c r="DP25" s="140"/>
      <c r="DQ25" s="140"/>
      <c r="DR25" s="140"/>
      <c r="DS25" s="140"/>
      <c r="DT25" s="140"/>
      <c r="DU25" s="140"/>
      <c r="DV25" s="140"/>
      <c r="DW25" s="140"/>
      <c r="DX25" s="140"/>
      <c r="DY25" s="140"/>
      <c r="DZ25" s="140"/>
      <c r="EA25" s="140"/>
      <c r="EB25" s="140"/>
      <c r="EC25" s="140"/>
      <c r="ED25" s="140"/>
      <c r="EE25" s="140"/>
      <c r="EF25" s="140"/>
      <c r="EG25" s="140"/>
      <c r="EH25" s="140"/>
      <c r="EI25" s="140"/>
      <c r="EJ25" s="140"/>
      <c r="EK25" s="140"/>
      <c r="EL25" s="140"/>
      <c r="EM25" s="140"/>
      <c r="EN25" s="140"/>
      <c r="EO25" s="140"/>
      <c r="EP25" s="140"/>
      <c r="EQ25" s="140"/>
      <c r="ER25" s="140"/>
      <c r="ES25" s="140"/>
      <c r="ET25" s="140"/>
      <c r="EU25" s="140"/>
      <c r="EV25" s="140"/>
      <c r="EW25" s="140"/>
      <c r="EX25" s="140"/>
    </row>
    <row r="26" spans="1:154" s="1" customFormat="1" x14ac:dyDescent="0.3">
      <c r="A26" s="34"/>
      <c r="B26" s="62">
        <v>150000</v>
      </c>
      <c r="C26" s="55">
        <f t="shared" si="0"/>
        <v>0</v>
      </c>
      <c r="D26" s="78" t="s">
        <v>27</v>
      </c>
      <c r="E26" s="79">
        <f t="shared" si="37"/>
        <v>0</v>
      </c>
      <c r="F26" s="87">
        <v>0</v>
      </c>
      <c r="G26" s="87"/>
      <c r="H26" s="100"/>
      <c r="I26" s="101"/>
      <c r="J26" s="228">
        <f t="shared" si="38"/>
        <v>0</v>
      </c>
      <c r="K26" s="226">
        <f t="shared" si="39"/>
        <v>100</v>
      </c>
      <c r="L26" s="24"/>
      <c r="M26" s="84" t="s">
        <v>122</v>
      </c>
      <c r="N26" s="66" t="s">
        <v>43</v>
      </c>
      <c r="O26" s="66"/>
      <c r="P26" s="96"/>
      <c r="Q26" s="234">
        <f t="shared" si="40"/>
        <v>0</v>
      </c>
      <c r="R26" s="234">
        <f t="shared" si="41"/>
        <v>1000</v>
      </c>
      <c r="S26" s="66"/>
      <c r="T26" s="68">
        <f>SUM(CL5:CL41)</f>
        <v>5.2819836319031671E-2</v>
      </c>
      <c r="U26" s="41"/>
      <c r="V26" s="113"/>
      <c r="W26" s="120"/>
      <c r="X26" s="250"/>
      <c r="Y26" s="120"/>
      <c r="Z26" s="250"/>
      <c r="AA26" s="120"/>
      <c r="AB26" s="250"/>
      <c r="AC26" s="120"/>
      <c r="AD26" s="250"/>
      <c r="AE26" s="120"/>
      <c r="AF26" s="116"/>
      <c r="AG26" s="24"/>
      <c r="AH26" s="60" t="s">
        <v>27</v>
      </c>
      <c r="AI26" s="10">
        <v>4500</v>
      </c>
      <c r="AJ26" s="6">
        <f t="shared" si="1"/>
        <v>0</v>
      </c>
      <c r="AK26" s="22">
        <v>58.1</v>
      </c>
      <c r="AL26" s="7">
        <f t="shared" si="2"/>
        <v>0</v>
      </c>
      <c r="AM26" s="10">
        <v>0</v>
      </c>
      <c r="AN26" s="13">
        <f t="shared" si="3"/>
        <v>0</v>
      </c>
      <c r="AO26" s="10">
        <v>0</v>
      </c>
      <c r="AP26" s="14">
        <f t="shared" si="4"/>
        <v>0</v>
      </c>
      <c r="AQ26" s="10">
        <v>0</v>
      </c>
      <c r="AR26" s="14">
        <f t="shared" si="5"/>
        <v>0</v>
      </c>
      <c r="AS26" s="10">
        <v>0</v>
      </c>
      <c r="AT26" s="14">
        <f t="shared" si="6"/>
        <v>0</v>
      </c>
      <c r="AU26" s="10">
        <v>0.5</v>
      </c>
      <c r="AV26" s="14">
        <f t="shared" si="7"/>
        <v>0</v>
      </c>
      <c r="AW26" s="10">
        <v>0</v>
      </c>
      <c r="AX26" s="17">
        <f t="shared" si="8"/>
        <v>0</v>
      </c>
      <c r="AY26" s="10">
        <v>99</v>
      </c>
      <c r="AZ26" s="17">
        <f t="shared" si="9"/>
        <v>0</v>
      </c>
      <c r="BA26" s="10">
        <v>99</v>
      </c>
      <c r="BB26" s="17">
        <f t="shared" si="10"/>
        <v>0</v>
      </c>
      <c r="BC26" s="10">
        <v>0</v>
      </c>
      <c r="BD26" s="17">
        <f t="shared" si="11"/>
        <v>0</v>
      </c>
      <c r="BE26" s="10">
        <v>0</v>
      </c>
      <c r="BF26" s="17">
        <f t="shared" si="12"/>
        <v>0</v>
      </c>
      <c r="BG26" s="10">
        <v>0</v>
      </c>
      <c r="BH26" s="17">
        <f t="shared" si="13"/>
        <v>0</v>
      </c>
      <c r="BI26" s="10">
        <v>0</v>
      </c>
      <c r="BJ26" s="17">
        <f t="shared" si="14"/>
        <v>0</v>
      </c>
      <c r="BK26" s="10">
        <v>0</v>
      </c>
      <c r="BL26" s="17">
        <f t="shared" si="15"/>
        <v>0</v>
      </c>
      <c r="BM26" s="10">
        <v>0</v>
      </c>
      <c r="BN26" s="17">
        <f t="shared" si="16"/>
        <v>0</v>
      </c>
      <c r="BO26" s="10">
        <v>0</v>
      </c>
      <c r="BP26" s="17">
        <f t="shared" si="17"/>
        <v>0</v>
      </c>
      <c r="BQ26" s="10">
        <v>0</v>
      </c>
      <c r="BR26" s="17">
        <f t="shared" si="18"/>
        <v>0</v>
      </c>
      <c r="BS26" s="10">
        <v>0</v>
      </c>
      <c r="BT26" s="17">
        <f t="shared" si="19"/>
        <v>0</v>
      </c>
      <c r="BU26" s="12">
        <v>0</v>
      </c>
      <c r="BV26" s="18">
        <f t="shared" si="20"/>
        <v>0</v>
      </c>
      <c r="BW26" s="10">
        <v>0</v>
      </c>
      <c r="BX26" s="17">
        <f t="shared" si="21"/>
        <v>0</v>
      </c>
      <c r="BY26" s="10">
        <v>0</v>
      </c>
      <c r="BZ26" s="17">
        <f t="shared" si="22"/>
        <v>0</v>
      </c>
      <c r="CA26" s="10">
        <v>0</v>
      </c>
      <c r="CB26" s="17">
        <f t="shared" si="23"/>
        <v>0</v>
      </c>
      <c r="CC26" s="10">
        <v>21.445</v>
      </c>
      <c r="CD26" s="14">
        <f t="shared" si="24"/>
        <v>0</v>
      </c>
      <c r="CE26" s="21">
        <v>0</v>
      </c>
      <c r="CF26" s="14">
        <f t="shared" si="26"/>
        <v>0</v>
      </c>
      <c r="CG26" s="10">
        <v>0</v>
      </c>
      <c r="CH26" s="17">
        <f t="shared" si="27"/>
        <v>0</v>
      </c>
      <c r="CI26" s="10">
        <v>0</v>
      </c>
      <c r="CJ26" s="14">
        <f t="shared" si="28"/>
        <v>0</v>
      </c>
      <c r="CK26" s="10">
        <v>0</v>
      </c>
      <c r="CL26" s="14">
        <f t="shared" si="29"/>
        <v>0</v>
      </c>
      <c r="CM26" s="10">
        <v>0</v>
      </c>
      <c r="CN26" s="14">
        <f t="shared" si="30"/>
        <v>0</v>
      </c>
      <c r="CO26" s="10">
        <v>0</v>
      </c>
      <c r="CP26" s="14">
        <f t="shared" si="31"/>
        <v>0</v>
      </c>
      <c r="CQ26" s="10">
        <v>0</v>
      </c>
      <c r="CR26" s="14">
        <f t="shared" si="32"/>
        <v>0</v>
      </c>
      <c r="CS26" s="10">
        <v>0</v>
      </c>
      <c r="CT26" s="14">
        <f t="shared" si="33"/>
        <v>0</v>
      </c>
      <c r="CU26" s="10">
        <v>0</v>
      </c>
      <c r="CV26" s="14">
        <f t="shared" si="35"/>
        <v>0</v>
      </c>
      <c r="CW26" s="11">
        <v>98</v>
      </c>
      <c r="CX26" s="20">
        <f t="shared" si="36"/>
        <v>0</v>
      </c>
      <c r="CY26" s="34"/>
      <c r="CZ26" s="34"/>
      <c r="DA26" s="34"/>
      <c r="DB26" s="34"/>
      <c r="DC26" s="140"/>
      <c r="DD26" s="140"/>
      <c r="DE26" s="140"/>
      <c r="DF26" s="140"/>
      <c r="DG26" s="140"/>
      <c r="DH26" s="140"/>
      <c r="DI26" s="140"/>
      <c r="DJ26" s="140"/>
      <c r="DK26" s="140"/>
      <c r="DL26" s="140"/>
      <c r="DM26" s="140"/>
      <c r="DN26" s="140"/>
      <c r="DO26" s="140"/>
      <c r="DP26" s="140"/>
      <c r="DQ26" s="140"/>
      <c r="DR26" s="140"/>
      <c r="DS26" s="140"/>
      <c r="DT26" s="140"/>
      <c r="DU26" s="140"/>
      <c r="DV26" s="140"/>
      <c r="DW26" s="140"/>
      <c r="DX26" s="140"/>
      <c r="DY26" s="140"/>
      <c r="DZ26" s="140"/>
      <c r="EA26" s="140"/>
      <c r="EB26" s="140"/>
      <c r="EC26" s="140"/>
      <c r="ED26" s="140"/>
      <c r="EE26" s="140"/>
      <c r="EF26" s="140"/>
      <c r="EG26" s="140"/>
      <c r="EH26" s="140"/>
      <c r="EI26" s="140"/>
      <c r="EJ26" s="140"/>
      <c r="EK26" s="140"/>
      <c r="EL26" s="140"/>
      <c r="EM26" s="140"/>
      <c r="EN26" s="140"/>
      <c r="EO26" s="140"/>
      <c r="EP26" s="140"/>
      <c r="EQ26" s="140"/>
      <c r="ER26" s="140"/>
      <c r="ES26" s="140"/>
      <c r="ET26" s="140"/>
      <c r="EU26" s="140"/>
      <c r="EV26" s="140"/>
      <c r="EW26" s="140"/>
      <c r="EX26" s="140"/>
    </row>
    <row r="27" spans="1:154" s="34" customFormat="1" x14ac:dyDescent="0.3">
      <c r="B27" s="61">
        <v>70000</v>
      </c>
      <c r="C27" s="56">
        <f t="shared" si="0"/>
        <v>0</v>
      </c>
      <c r="D27" s="76" t="s">
        <v>28</v>
      </c>
      <c r="E27" s="77">
        <f t="shared" si="37"/>
        <v>0</v>
      </c>
      <c r="F27" s="86">
        <v>0</v>
      </c>
      <c r="G27" s="86"/>
      <c r="H27" s="98"/>
      <c r="I27" s="99">
        <v>0</v>
      </c>
      <c r="J27" s="228">
        <f t="shared" si="38"/>
        <v>0</v>
      </c>
      <c r="K27" s="226">
        <f t="shared" si="39"/>
        <v>0</v>
      </c>
      <c r="L27" s="24"/>
      <c r="M27" s="83" t="s">
        <v>123</v>
      </c>
      <c r="N27" s="65" t="s">
        <v>43</v>
      </c>
      <c r="O27" s="65">
        <v>0.6</v>
      </c>
      <c r="P27" s="95"/>
      <c r="Q27" s="233">
        <f t="shared" si="40"/>
        <v>0.6</v>
      </c>
      <c r="R27" s="233">
        <f t="shared" si="41"/>
        <v>1000</v>
      </c>
      <c r="S27" s="65"/>
      <c r="T27" s="69">
        <f>SUM(CN5:CN41)</f>
        <v>0.60000000000000608</v>
      </c>
      <c r="U27" s="41"/>
      <c r="V27" s="113"/>
      <c r="W27" s="121">
        <v>0.6</v>
      </c>
      <c r="X27" s="250"/>
      <c r="Y27" s="121">
        <v>0.6</v>
      </c>
      <c r="Z27" s="250"/>
      <c r="AA27" s="121">
        <v>0.6</v>
      </c>
      <c r="AB27" s="250"/>
      <c r="AC27" s="121">
        <v>0.6</v>
      </c>
      <c r="AD27" s="250"/>
      <c r="AE27" s="121">
        <v>0.6</v>
      </c>
      <c r="AF27" s="116"/>
      <c r="AG27" s="24"/>
      <c r="AH27" s="59" t="s">
        <v>28</v>
      </c>
      <c r="AI27" s="26">
        <v>3790</v>
      </c>
      <c r="AJ27" s="25">
        <f t="shared" si="1"/>
        <v>0</v>
      </c>
      <c r="AK27" s="39">
        <v>80</v>
      </c>
      <c r="AL27" s="27">
        <f t="shared" si="2"/>
        <v>0</v>
      </c>
      <c r="AM27" s="26">
        <v>0</v>
      </c>
      <c r="AN27" s="28">
        <f t="shared" si="3"/>
        <v>0</v>
      </c>
      <c r="AO27" s="26">
        <v>0</v>
      </c>
      <c r="AP27" s="29">
        <f t="shared" si="4"/>
        <v>0</v>
      </c>
      <c r="AQ27" s="26">
        <v>0</v>
      </c>
      <c r="AR27" s="29">
        <f t="shared" si="5"/>
        <v>0</v>
      </c>
      <c r="AS27" s="26">
        <v>0</v>
      </c>
      <c r="AT27" s="29">
        <f t="shared" si="6"/>
        <v>0</v>
      </c>
      <c r="AU27" s="26">
        <v>0.5</v>
      </c>
      <c r="AV27" s="29">
        <f t="shared" si="7"/>
        <v>0</v>
      </c>
      <c r="AW27" s="26">
        <v>54.6</v>
      </c>
      <c r="AX27" s="30">
        <f t="shared" si="8"/>
        <v>0</v>
      </c>
      <c r="AY27" s="26">
        <v>0.1</v>
      </c>
      <c r="AZ27" s="30">
        <f t="shared" si="9"/>
        <v>0</v>
      </c>
      <c r="BA27" s="26">
        <v>0.16</v>
      </c>
      <c r="BB27" s="30">
        <f t="shared" si="10"/>
        <v>0</v>
      </c>
      <c r="BC27" s="26">
        <v>0.28000000000000003</v>
      </c>
      <c r="BD27" s="30">
        <f t="shared" si="11"/>
        <v>0</v>
      </c>
      <c r="BE27" s="26">
        <v>0.04</v>
      </c>
      <c r="BF27" s="30">
        <f t="shared" si="12"/>
        <v>0</v>
      </c>
      <c r="BG27" s="26">
        <v>0.56000000000000005</v>
      </c>
      <c r="BH27" s="30">
        <f t="shared" si="13"/>
        <v>0</v>
      </c>
      <c r="BI27" s="26">
        <v>0.3</v>
      </c>
      <c r="BJ27" s="30">
        <f t="shared" si="14"/>
        <v>0</v>
      </c>
      <c r="BK27" s="26">
        <v>0.49</v>
      </c>
      <c r="BL27" s="30">
        <f t="shared" si="15"/>
        <v>0</v>
      </c>
      <c r="BM27" s="26">
        <v>0.36</v>
      </c>
      <c r="BN27" s="30">
        <f t="shared" si="16"/>
        <v>0</v>
      </c>
      <c r="BO27" s="26">
        <v>0</v>
      </c>
      <c r="BP27" s="30">
        <f t="shared" si="17"/>
        <v>0</v>
      </c>
      <c r="BQ27" s="26">
        <v>0.11</v>
      </c>
      <c r="BR27" s="30">
        <f t="shared" si="18"/>
        <v>0</v>
      </c>
      <c r="BS27" s="26">
        <f>BQ27*1</f>
        <v>0.11</v>
      </c>
      <c r="BT27" s="30">
        <f t="shared" si="19"/>
        <v>0</v>
      </c>
      <c r="BU27" s="26">
        <v>0</v>
      </c>
      <c r="BV27" s="30">
        <f t="shared" si="20"/>
        <v>0</v>
      </c>
      <c r="BW27" s="26">
        <v>0</v>
      </c>
      <c r="BX27" s="30">
        <f t="shared" si="21"/>
        <v>0</v>
      </c>
      <c r="BY27" s="26">
        <v>0</v>
      </c>
      <c r="BZ27" s="30">
        <f t="shared" si="22"/>
        <v>0</v>
      </c>
      <c r="CA27" s="26">
        <v>0</v>
      </c>
      <c r="CB27" s="30">
        <f t="shared" si="23"/>
        <v>0</v>
      </c>
      <c r="CC27" s="26">
        <v>6</v>
      </c>
      <c r="CD27" s="29">
        <f t="shared" si="24"/>
        <v>0</v>
      </c>
      <c r="CE27" s="31">
        <v>0</v>
      </c>
      <c r="CF27" s="29">
        <f t="shared" si="26"/>
        <v>0</v>
      </c>
      <c r="CG27" s="26">
        <v>0</v>
      </c>
      <c r="CH27" s="30">
        <f t="shared" si="27"/>
        <v>0</v>
      </c>
      <c r="CI27" s="26">
        <v>0</v>
      </c>
      <c r="CJ27" s="29">
        <f t="shared" si="28"/>
        <v>0</v>
      </c>
      <c r="CK27" s="26">
        <v>0</v>
      </c>
      <c r="CL27" s="29">
        <f t="shared" si="29"/>
        <v>0</v>
      </c>
      <c r="CM27" s="26">
        <v>0</v>
      </c>
      <c r="CN27" s="29">
        <f t="shared" si="30"/>
        <v>0</v>
      </c>
      <c r="CO27" s="26">
        <v>0</v>
      </c>
      <c r="CP27" s="29">
        <f t="shared" si="31"/>
        <v>0</v>
      </c>
      <c r="CQ27" s="26">
        <v>0</v>
      </c>
      <c r="CR27" s="29">
        <f t="shared" si="32"/>
        <v>0</v>
      </c>
      <c r="CS27" s="26">
        <v>0</v>
      </c>
      <c r="CT27" s="29">
        <f t="shared" si="33"/>
        <v>0</v>
      </c>
      <c r="CU27" s="26">
        <v>0</v>
      </c>
      <c r="CV27" s="29">
        <f t="shared" si="35"/>
        <v>0</v>
      </c>
      <c r="CW27" s="32">
        <v>95</v>
      </c>
      <c r="CX27" s="33">
        <f t="shared" si="36"/>
        <v>0</v>
      </c>
      <c r="DC27" s="140"/>
      <c r="DD27" s="140"/>
      <c r="DE27" s="140"/>
      <c r="DF27" s="140"/>
      <c r="DG27" s="140"/>
      <c r="DH27" s="140"/>
      <c r="DI27" s="140"/>
      <c r="DJ27" s="140"/>
      <c r="DK27" s="140"/>
      <c r="DL27" s="140"/>
      <c r="DM27" s="140"/>
      <c r="DN27" s="140"/>
      <c r="DO27" s="140"/>
      <c r="DP27" s="140"/>
      <c r="DQ27" s="140"/>
      <c r="DR27" s="140"/>
      <c r="DS27" s="140"/>
      <c r="DT27" s="140"/>
      <c r="DU27" s="140"/>
      <c r="DV27" s="140"/>
      <c r="DW27" s="140"/>
      <c r="DX27" s="140"/>
      <c r="DY27" s="140"/>
      <c r="DZ27" s="140"/>
      <c r="EA27" s="140"/>
      <c r="EB27" s="140"/>
      <c r="EC27" s="140"/>
      <c r="ED27" s="140"/>
      <c r="EE27" s="140"/>
      <c r="EF27" s="140"/>
      <c r="EG27" s="140"/>
      <c r="EH27" s="140"/>
      <c r="EI27" s="140"/>
      <c r="EJ27" s="140"/>
      <c r="EK27" s="140"/>
      <c r="EL27" s="140"/>
      <c r="EM27" s="140"/>
      <c r="EN27" s="140"/>
      <c r="EO27" s="140"/>
      <c r="EP27" s="140"/>
      <c r="EQ27" s="140"/>
      <c r="ER27" s="140"/>
      <c r="ES27" s="140"/>
      <c r="ET27" s="140"/>
      <c r="EU27" s="140"/>
      <c r="EV27" s="140"/>
      <c r="EW27" s="140"/>
      <c r="EX27" s="140"/>
    </row>
    <row r="28" spans="1:154" s="1" customFormat="1" x14ac:dyDescent="0.3">
      <c r="A28" s="34"/>
      <c r="B28" s="62">
        <v>130000</v>
      </c>
      <c r="C28" s="55">
        <f t="shared" si="0"/>
        <v>0</v>
      </c>
      <c r="D28" s="78" t="s">
        <v>29</v>
      </c>
      <c r="E28" s="79">
        <f t="shared" si="37"/>
        <v>0</v>
      </c>
      <c r="F28" s="87">
        <v>0</v>
      </c>
      <c r="G28" s="87"/>
      <c r="H28" s="100"/>
      <c r="I28" s="101"/>
      <c r="J28" s="228">
        <f t="shared" si="38"/>
        <v>0</v>
      </c>
      <c r="K28" s="226">
        <f t="shared" si="39"/>
        <v>100</v>
      </c>
      <c r="L28" s="24"/>
      <c r="M28" s="84"/>
      <c r="N28" s="66"/>
      <c r="O28" s="66"/>
      <c r="P28" s="96"/>
      <c r="Q28" s="235"/>
      <c r="R28" s="235"/>
      <c r="S28" s="66"/>
      <c r="T28" s="70"/>
      <c r="U28" s="41"/>
      <c r="V28" s="114"/>
      <c r="W28" s="123"/>
      <c r="X28" s="251"/>
      <c r="Y28" s="123"/>
      <c r="Z28" s="251"/>
      <c r="AA28" s="123"/>
      <c r="AB28" s="251"/>
      <c r="AC28" s="123"/>
      <c r="AD28" s="251"/>
      <c r="AE28" s="123"/>
      <c r="AF28" s="117"/>
      <c r="AG28" s="24"/>
      <c r="AH28" s="60" t="s">
        <v>29</v>
      </c>
      <c r="AI28" s="10">
        <v>3800</v>
      </c>
      <c r="AJ28" s="6">
        <f t="shared" si="1"/>
        <v>0</v>
      </c>
      <c r="AK28" s="22">
        <v>93.4</v>
      </c>
      <c r="AL28" s="7">
        <f t="shared" si="2"/>
        <v>0</v>
      </c>
      <c r="AM28" s="10">
        <v>0</v>
      </c>
      <c r="AN28" s="13">
        <f t="shared" si="3"/>
        <v>0</v>
      </c>
      <c r="AO28" s="10">
        <v>0</v>
      </c>
      <c r="AP28" s="14">
        <f t="shared" si="4"/>
        <v>0</v>
      </c>
      <c r="AQ28" s="10">
        <v>0</v>
      </c>
      <c r="AR28" s="14">
        <f t="shared" si="5"/>
        <v>0</v>
      </c>
      <c r="AS28" s="10">
        <v>0</v>
      </c>
      <c r="AT28" s="14">
        <f t="shared" si="6"/>
        <v>0</v>
      </c>
      <c r="AU28" s="10">
        <v>0.5</v>
      </c>
      <c r="AV28" s="14">
        <f t="shared" si="7"/>
        <v>0</v>
      </c>
      <c r="AW28" s="10">
        <v>78</v>
      </c>
      <c r="AX28" s="17">
        <f t="shared" si="8"/>
        <v>0</v>
      </c>
      <c r="AY28" s="10">
        <v>0</v>
      </c>
      <c r="AZ28" s="17">
        <f t="shared" si="9"/>
        <v>0</v>
      </c>
      <c r="BA28" s="10">
        <v>0</v>
      </c>
      <c r="BB28" s="17">
        <f t="shared" si="10"/>
        <v>0</v>
      </c>
      <c r="BC28" s="10">
        <v>0</v>
      </c>
      <c r="BD28" s="17">
        <f t="shared" si="11"/>
        <v>0</v>
      </c>
      <c r="BE28" s="10">
        <v>0</v>
      </c>
      <c r="BF28" s="17">
        <f t="shared" si="12"/>
        <v>0</v>
      </c>
      <c r="BG28" s="10">
        <v>0</v>
      </c>
      <c r="BH28" s="17">
        <f t="shared" si="13"/>
        <v>0</v>
      </c>
      <c r="BI28" s="10">
        <v>0</v>
      </c>
      <c r="BJ28" s="17">
        <f t="shared" si="14"/>
        <v>0</v>
      </c>
      <c r="BK28" s="10">
        <v>0</v>
      </c>
      <c r="BL28" s="17">
        <f t="shared" si="15"/>
        <v>0</v>
      </c>
      <c r="BM28" s="10">
        <v>0</v>
      </c>
      <c r="BN28" s="17">
        <f t="shared" si="16"/>
        <v>0</v>
      </c>
      <c r="BO28" s="10">
        <v>0</v>
      </c>
      <c r="BP28" s="17">
        <f t="shared" si="17"/>
        <v>0</v>
      </c>
      <c r="BQ28" s="10">
        <v>0</v>
      </c>
      <c r="BR28" s="17">
        <f t="shared" si="18"/>
        <v>0</v>
      </c>
      <c r="BS28" s="10">
        <v>0</v>
      </c>
      <c r="BT28" s="17">
        <f t="shared" si="19"/>
        <v>0</v>
      </c>
      <c r="BU28" s="12">
        <v>0</v>
      </c>
      <c r="BV28" s="18">
        <f t="shared" si="20"/>
        <v>0</v>
      </c>
      <c r="BW28" s="10">
        <v>0</v>
      </c>
      <c r="BX28" s="17">
        <f t="shared" si="21"/>
        <v>0</v>
      </c>
      <c r="BY28" s="10">
        <v>0</v>
      </c>
      <c r="BZ28" s="17">
        <f t="shared" si="22"/>
        <v>0</v>
      </c>
      <c r="CA28" s="10">
        <v>19.399999999999999</v>
      </c>
      <c r="CB28" s="17">
        <f t="shared" si="23"/>
        <v>0</v>
      </c>
      <c r="CC28" s="10">
        <v>0</v>
      </c>
      <c r="CD28" s="14">
        <f t="shared" si="24"/>
        <v>0</v>
      </c>
      <c r="CE28" s="21">
        <f>(BW28*435)+(BY28*256)-(CA28*282)</f>
        <v>-5470.7999999999993</v>
      </c>
      <c r="CF28" s="14">
        <f t="shared" si="26"/>
        <v>0</v>
      </c>
      <c r="CG28" s="10">
        <v>0</v>
      </c>
      <c r="CH28" s="17">
        <f t="shared" si="27"/>
        <v>0</v>
      </c>
      <c r="CI28" s="10">
        <v>0</v>
      </c>
      <c r="CJ28" s="14">
        <f t="shared" si="28"/>
        <v>0</v>
      </c>
      <c r="CK28" s="10">
        <v>0</v>
      </c>
      <c r="CL28" s="14">
        <f t="shared" si="29"/>
        <v>0</v>
      </c>
      <c r="CM28" s="10">
        <v>0</v>
      </c>
      <c r="CN28" s="14">
        <f t="shared" si="30"/>
        <v>0</v>
      </c>
      <c r="CO28" s="10">
        <v>0</v>
      </c>
      <c r="CP28" s="14">
        <f t="shared" si="31"/>
        <v>0</v>
      </c>
      <c r="CQ28" s="10">
        <v>0</v>
      </c>
      <c r="CR28" s="14">
        <f t="shared" si="32"/>
        <v>0</v>
      </c>
      <c r="CS28" s="10">
        <v>0</v>
      </c>
      <c r="CT28" s="14">
        <f t="shared" si="33"/>
        <v>0</v>
      </c>
      <c r="CU28" s="10">
        <v>0</v>
      </c>
      <c r="CV28" s="14">
        <f t="shared" si="35"/>
        <v>0</v>
      </c>
      <c r="CW28" s="11">
        <v>98</v>
      </c>
      <c r="CX28" s="20">
        <f t="shared" si="36"/>
        <v>0</v>
      </c>
      <c r="CY28" s="34"/>
      <c r="CZ28" s="34"/>
      <c r="DA28" s="34"/>
      <c r="DB28" s="34"/>
      <c r="DC28" s="140"/>
      <c r="DD28" s="140"/>
      <c r="DE28" s="140"/>
      <c r="DF28" s="140"/>
      <c r="DG28" s="140"/>
      <c r="DH28" s="140"/>
      <c r="DI28" s="140"/>
      <c r="DJ28" s="140"/>
      <c r="DK28" s="140"/>
      <c r="DL28" s="140"/>
      <c r="DM28" s="140"/>
      <c r="DN28" s="140"/>
      <c r="DO28" s="140"/>
      <c r="DP28" s="140"/>
      <c r="DQ28" s="140"/>
      <c r="DR28" s="140"/>
      <c r="DS28" s="140"/>
      <c r="DT28" s="140"/>
      <c r="DU28" s="140"/>
      <c r="DV28" s="140"/>
      <c r="DW28" s="140"/>
      <c r="DX28" s="140"/>
      <c r="DY28" s="140"/>
      <c r="DZ28" s="140"/>
      <c r="EA28" s="140"/>
      <c r="EB28" s="140"/>
      <c r="EC28" s="140"/>
      <c r="ED28" s="140"/>
      <c r="EE28" s="140"/>
      <c r="EF28" s="140"/>
      <c r="EG28" s="140"/>
      <c r="EH28" s="140"/>
      <c r="EI28" s="140"/>
      <c r="EJ28" s="140"/>
      <c r="EK28" s="140"/>
      <c r="EL28" s="140"/>
      <c r="EM28" s="140"/>
      <c r="EN28" s="140"/>
      <c r="EO28" s="140"/>
      <c r="EP28" s="140"/>
      <c r="EQ28" s="140"/>
      <c r="ER28" s="140"/>
      <c r="ES28" s="140"/>
      <c r="ET28" s="140"/>
      <c r="EU28" s="140"/>
      <c r="EV28" s="140"/>
      <c r="EW28" s="140"/>
      <c r="EX28" s="140"/>
    </row>
    <row r="29" spans="1:154" s="34" customFormat="1" x14ac:dyDescent="0.3">
      <c r="B29" s="61">
        <v>200000</v>
      </c>
      <c r="C29" s="56">
        <f t="shared" si="0"/>
        <v>0</v>
      </c>
      <c r="D29" s="76" t="s">
        <v>30</v>
      </c>
      <c r="E29" s="77">
        <f t="shared" si="37"/>
        <v>0</v>
      </c>
      <c r="F29" s="86">
        <v>0</v>
      </c>
      <c r="G29" s="86"/>
      <c r="H29" s="98"/>
      <c r="I29" s="99"/>
      <c r="J29" s="228">
        <f t="shared" si="38"/>
        <v>0</v>
      </c>
      <c r="K29" s="226">
        <f t="shared" si="39"/>
        <v>100</v>
      </c>
      <c r="L29" s="24"/>
      <c r="M29" s="83"/>
      <c r="N29" s="65"/>
      <c r="O29" s="65"/>
      <c r="P29" s="95"/>
      <c r="Q29" s="233"/>
      <c r="R29" s="233"/>
      <c r="S29" s="65"/>
      <c r="T29" s="71"/>
      <c r="U29" s="41"/>
      <c r="V29" s="114"/>
      <c r="W29" s="124"/>
      <c r="X29" s="251"/>
      <c r="Y29" s="124"/>
      <c r="Z29" s="251"/>
      <c r="AA29" s="124"/>
      <c r="AB29" s="251"/>
      <c r="AC29" s="124"/>
      <c r="AD29" s="251"/>
      <c r="AE29" s="124"/>
      <c r="AF29" s="117"/>
      <c r="AG29" s="24"/>
      <c r="AH29" s="59" t="s">
        <v>30</v>
      </c>
      <c r="AI29" s="31">
        <v>3280</v>
      </c>
      <c r="AJ29" s="25">
        <f t="shared" si="1"/>
        <v>0</v>
      </c>
      <c r="AK29" s="26">
        <v>73.5</v>
      </c>
      <c r="AL29" s="27">
        <f t="shared" si="2"/>
        <v>0</v>
      </c>
      <c r="AM29" s="26">
        <v>0</v>
      </c>
      <c r="AN29" s="28">
        <f t="shared" si="3"/>
        <v>0</v>
      </c>
      <c r="AO29" s="26">
        <v>0</v>
      </c>
      <c r="AP29" s="29">
        <f t="shared" si="4"/>
        <v>0</v>
      </c>
      <c r="AQ29" s="26">
        <v>0</v>
      </c>
      <c r="AR29" s="29">
        <f t="shared" si="5"/>
        <v>0</v>
      </c>
      <c r="AS29" s="26">
        <v>0</v>
      </c>
      <c r="AT29" s="29">
        <f t="shared" si="6"/>
        <v>0</v>
      </c>
      <c r="AU29" s="26">
        <v>0.5</v>
      </c>
      <c r="AV29" s="29">
        <f t="shared" si="7"/>
        <v>0</v>
      </c>
      <c r="AW29" s="26">
        <v>0</v>
      </c>
      <c r="AX29" s="30">
        <f t="shared" si="8"/>
        <v>0</v>
      </c>
      <c r="AY29" s="26">
        <v>0</v>
      </c>
      <c r="AZ29" s="30">
        <f t="shared" si="9"/>
        <v>0</v>
      </c>
      <c r="BA29" s="26">
        <v>0</v>
      </c>
      <c r="BB29" s="30">
        <f t="shared" si="10"/>
        <v>0</v>
      </c>
      <c r="BC29" s="26">
        <v>98.5</v>
      </c>
      <c r="BD29" s="30">
        <f t="shared" si="11"/>
        <v>0</v>
      </c>
      <c r="BE29" s="26">
        <v>0</v>
      </c>
      <c r="BF29" s="30">
        <f t="shared" si="12"/>
        <v>0</v>
      </c>
      <c r="BG29" s="26">
        <v>0</v>
      </c>
      <c r="BH29" s="30">
        <f t="shared" si="13"/>
        <v>0</v>
      </c>
      <c r="BI29" s="26">
        <v>0</v>
      </c>
      <c r="BJ29" s="30">
        <f t="shared" si="14"/>
        <v>0</v>
      </c>
      <c r="BK29" s="26">
        <v>0</v>
      </c>
      <c r="BL29" s="30">
        <f t="shared" si="15"/>
        <v>0</v>
      </c>
      <c r="BM29" s="26">
        <v>0</v>
      </c>
      <c r="BN29" s="30">
        <f t="shared" si="16"/>
        <v>0</v>
      </c>
      <c r="BO29" s="26">
        <v>0</v>
      </c>
      <c r="BP29" s="30">
        <f t="shared" si="17"/>
        <v>0</v>
      </c>
      <c r="BQ29" s="26">
        <v>0</v>
      </c>
      <c r="BR29" s="30">
        <f t="shared" si="18"/>
        <v>0</v>
      </c>
      <c r="BS29" s="26">
        <v>0</v>
      </c>
      <c r="BT29" s="30">
        <f t="shared" si="19"/>
        <v>0</v>
      </c>
      <c r="BU29" s="26">
        <v>0</v>
      </c>
      <c r="BV29" s="30">
        <f t="shared" si="20"/>
        <v>0</v>
      </c>
      <c r="BW29" s="26">
        <v>0</v>
      </c>
      <c r="BX29" s="30">
        <f t="shared" si="21"/>
        <v>0</v>
      </c>
      <c r="BY29" s="26">
        <v>0</v>
      </c>
      <c r="BZ29" s="30">
        <f t="shared" si="22"/>
        <v>0</v>
      </c>
      <c r="CA29" s="26">
        <v>0</v>
      </c>
      <c r="CB29" s="30">
        <f t="shared" si="23"/>
        <v>0</v>
      </c>
      <c r="CC29" s="26">
        <v>0</v>
      </c>
      <c r="CD29" s="29">
        <f t="shared" si="24"/>
        <v>0</v>
      </c>
      <c r="CE29" s="31">
        <v>0</v>
      </c>
      <c r="CF29" s="29">
        <f t="shared" si="26"/>
        <v>0</v>
      </c>
      <c r="CG29" s="26">
        <v>0</v>
      </c>
      <c r="CH29" s="30">
        <f t="shared" si="27"/>
        <v>0</v>
      </c>
      <c r="CI29" s="26">
        <v>0</v>
      </c>
      <c r="CJ29" s="29">
        <f t="shared" si="28"/>
        <v>0</v>
      </c>
      <c r="CK29" s="26">
        <v>0</v>
      </c>
      <c r="CL29" s="29">
        <f t="shared" si="29"/>
        <v>0</v>
      </c>
      <c r="CM29" s="26">
        <v>0</v>
      </c>
      <c r="CN29" s="29">
        <f t="shared" si="30"/>
        <v>0</v>
      </c>
      <c r="CO29" s="26">
        <v>0</v>
      </c>
      <c r="CP29" s="29">
        <f t="shared" si="31"/>
        <v>0</v>
      </c>
      <c r="CQ29" s="26">
        <v>0</v>
      </c>
      <c r="CR29" s="29">
        <f t="shared" si="32"/>
        <v>0</v>
      </c>
      <c r="CS29" s="26">
        <v>0</v>
      </c>
      <c r="CT29" s="29">
        <f t="shared" si="33"/>
        <v>0</v>
      </c>
      <c r="CU29" s="26">
        <v>0</v>
      </c>
      <c r="CV29" s="29">
        <f t="shared" si="35"/>
        <v>0</v>
      </c>
      <c r="CW29" s="32">
        <v>98</v>
      </c>
      <c r="CX29" s="33">
        <f t="shared" si="36"/>
        <v>0</v>
      </c>
      <c r="DC29" s="140"/>
      <c r="DD29" s="140"/>
      <c r="DE29" s="140"/>
      <c r="DF29" s="140"/>
      <c r="DG29" s="140"/>
      <c r="DH29" s="140"/>
      <c r="DI29" s="140"/>
      <c r="DJ29" s="140"/>
      <c r="DK29" s="140"/>
      <c r="DL29" s="140"/>
      <c r="DM29" s="140"/>
      <c r="DN29" s="140"/>
      <c r="DO29" s="140"/>
      <c r="DP29" s="140"/>
      <c r="DQ29" s="140"/>
      <c r="DR29" s="140"/>
      <c r="DS29" s="140"/>
      <c r="DT29" s="140"/>
      <c r="DU29" s="140"/>
      <c r="DV29" s="140"/>
      <c r="DW29" s="140"/>
      <c r="DX29" s="140"/>
      <c r="DY29" s="140"/>
      <c r="DZ29" s="140"/>
      <c r="EA29" s="140"/>
      <c r="EB29" s="140"/>
      <c r="EC29" s="140"/>
      <c r="ED29" s="140"/>
      <c r="EE29" s="140"/>
      <c r="EF29" s="140"/>
      <c r="EG29" s="140"/>
      <c r="EH29" s="140"/>
      <c r="EI29" s="140"/>
      <c r="EJ29" s="140"/>
      <c r="EK29" s="140"/>
      <c r="EL29" s="140"/>
      <c r="EM29" s="140"/>
      <c r="EN29" s="140"/>
      <c r="EO29" s="140"/>
      <c r="EP29" s="140"/>
      <c r="EQ29" s="140"/>
      <c r="ER29" s="140"/>
      <c r="ES29" s="140"/>
      <c r="ET29" s="140"/>
      <c r="EU29" s="140"/>
      <c r="EV29" s="140"/>
      <c r="EW29" s="140"/>
      <c r="EX29" s="140"/>
    </row>
    <row r="30" spans="1:154" s="1" customFormat="1" x14ac:dyDescent="0.3">
      <c r="A30" s="34"/>
      <c r="B30" s="62">
        <v>400000</v>
      </c>
      <c r="C30" s="55">
        <f t="shared" si="0"/>
        <v>0</v>
      </c>
      <c r="D30" s="78" t="s">
        <v>31</v>
      </c>
      <c r="E30" s="79">
        <f t="shared" si="37"/>
        <v>0</v>
      </c>
      <c r="F30" s="87">
        <v>0</v>
      </c>
      <c r="G30" s="87"/>
      <c r="H30" s="100"/>
      <c r="I30" s="101">
        <v>0</v>
      </c>
      <c r="J30" s="228">
        <f t="shared" si="38"/>
        <v>0</v>
      </c>
      <c r="K30" s="226">
        <f t="shared" si="39"/>
        <v>0</v>
      </c>
      <c r="L30" s="24"/>
      <c r="M30" s="84"/>
      <c r="N30" s="66"/>
      <c r="O30" s="66"/>
      <c r="P30" s="96"/>
      <c r="Q30" s="235"/>
      <c r="R30" s="235"/>
      <c r="S30" s="66"/>
      <c r="T30" s="70"/>
      <c r="U30" s="41"/>
      <c r="V30" s="114"/>
      <c r="W30" s="104"/>
      <c r="X30" s="252"/>
      <c r="Y30" s="104"/>
      <c r="Z30" s="252"/>
      <c r="AA30" s="104"/>
      <c r="AB30" s="252"/>
      <c r="AC30" s="104"/>
      <c r="AD30" s="252"/>
      <c r="AE30" s="104"/>
      <c r="AF30" s="117"/>
      <c r="AG30" s="24"/>
      <c r="AH30" s="60" t="s">
        <v>31</v>
      </c>
      <c r="AI30" s="21">
        <v>5250</v>
      </c>
      <c r="AJ30" s="6">
        <f t="shared" si="1"/>
        <v>0</v>
      </c>
      <c r="AK30" s="10">
        <v>85.75</v>
      </c>
      <c r="AL30" s="7">
        <f t="shared" si="2"/>
        <v>0</v>
      </c>
      <c r="AM30" s="10">
        <v>0</v>
      </c>
      <c r="AN30" s="13">
        <f t="shared" si="3"/>
        <v>0</v>
      </c>
      <c r="AO30" s="10">
        <v>0</v>
      </c>
      <c r="AP30" s="14">
        <f t="shared" si="4"/>
        <v>0</v>
      </c>
      <c r="AQ30" s="10">
        <v>0</v>
      </c>
      <c r="AR30" s="14">
        <f t="shared" si="5"/>
        <v>0</v>
      </c>
      <c r="AS30" s="10">
        <v>0</v>
      </c>
      <c r="AT30" s="14">
        <f t="shared" si="6"/>
        <v>0</v>
      </c>
      <c r="AU30" s="10">
        <v>0.5</v>
      </c>
      <c r="AV30" s="14">
        <f t="shared" si="7"/>
        <v>0</v>
      </c>
      <c r="AW30" s="10">
        <v>0</v>
      </c>
      <c r="AX30" s="17">
        <f t="shared" si="8"/>
        <v>0</v>
      </c>
      <c r="AY30" s="10">
        <v>0</v>
      </c>
      <c r="AZ30" s="17">
        <f t="shared" si="9"/>
        <v>0</v>
      </c>
      <c r="BA30" s="10">
        <v>0</v>
      </c>
      <c r="BB30" s="17">
        <f t="shared" si="10"/>
        <v>0</v>
      </c>
      <c r="BC30" s="10">
        <v>0</v>
      </c>
      <c r="BD30" s="17">
        <f t="shared" si="11"/>
        <v>0</v>
      </c>
      <c r="BE30" s="10">
        <v>98</v>
      </c>
      <c r="BF30" s="17">
        <f t="shared" si="12"/>
        <v>0</v>
      </c>
      <c r="BG30" s="10">
        <v>0</v>
      </c>
      <c r="BH30" s="17">
        <f t="shared" si="13"/>
        <v>0</v>
      </c>
      <c r="BI30" s="10">
        <v>0</v>
      </c>
      <c r="BJ30" s="17">
        <f t="shared" si="14"/>
        <v>0</v>
      </c>
      <c r="BK30" s="10">
        <v>0</v>
      </c>
      <c r="BL30" s="17">
        <f t="shared" si="15"/>
        <v>0</v>
      </c>
      <c r="BM30" s="10">
        <v>0</v>
      </c>
      <c r="BN30" s="17">
        <f t="shared" si="16"/>
        <v>0</v>
      </c>
      <c r="BO30" s="10">
        <v>0</v>
      </c>
      <c r="BP30" s="17">
        <f t="shared" si="17"/>
        <v>0</v>
      </c>
      <c r="BQ30" s="10">
        <v>0</v>
      </c>
      <c r="BR30" s="17">
        <f t="shared" si="18"/>
        <v>0</v>
      </c>
      <c r="BS30" s="10">
        <v>0</v>
      </c>
      <c r="BT30" s="17">
        <f t="shared" si="19"/>
        <v>0</v>
      </c>
      <c r="BU30" s="12">
        <v>0</v>
      </c>
      <c r="BV30" s="18">
        <f t="shared" si="20"/>
        <v>0</v>
      </c>
      <c r="BW30" s="10">
        <v>0</v>
      </c>
      <c r="BX30" s="17">
        <f t="shared" si="21"/>
        <v>0</v>
      </c>
      <c r="BY30" s="10">
        <v>0</v>
      </c>
      <c r="BZ30" s="17">
        <f t="shared" si="22"/>
        <v>0</v>
      </c>
      <c r="CA30" s="10">
        <v>0</v>
      </c>
      <c r="CB30" s="17">
        <f t="shared" si="23"/>
        <v>0</v>
      </c>
      <c r="CC30" s="10">
        <v>0</v>
      </c>
      <c r="CD30" s="14">
        <f t="shared" si="24"/>
        <v>0</v>
      </c>
      <c r="CE30" s="21">
        <v>0</v>
      </c>
      <c r="CF30" s="14">
        <f t="shared" si="26"/>
        <v>0</v>
      </c>
      <c r="CG30" s="10">
        <v>0</v>
      </c>
      <c r="CH30" s="17">
        <f t="shared" si="27"/>
        <v>0</v>
      </c>
      <c r="CI30" s="10">
        <v>0</v>
      </c>
      <c r="CJ30" s="14">
        <f t="shared" si="28"/>
        <v>0</v>
      </c>
      <c r="CK30" s="10">
        <v>0</v>
      </c>
      <c r="CL30" s="14">
        <f t="shared" si="29"/>
        <v>0</v>
      </c>
      <c r="CM30" s="10">
        <v>0</v>
      </c>
      <c r="CN30" s="14">
        <f t="shared" si="30"/>
        <v>0</v>
      </c>
      <c r="CO30" s="10">
        <v>0</v>
      </c>
      <c r="CP30" s="14">
        <f t="shared" si="31"/>
        <v>0</v>
      </c>
      <c r="CQ30" s="10">
        <v>0</v>
      </c>
      <c r="CR30" s="14">
        <f t="shared" si="32"/>
        <v>0</v>
      </c>
      <c r="CS30" s="10">
        <v>0</v>
      </c>
      <c r="CT30" s="14">
        <f t="shared" si="33"/>
        <v>0</v>
      </c>
      <c r="CU30" s="10">
        <v>0</v>
      </c>
      <c r="CV30" s="14">
        <f t="shared" si="35"/>
        <v>0</v>
      </c>
      <c r="CW30" s="11">
        <v>98</v>
      </c>
      <c r="CX30" s="20">
        <f t="shared" si="36"/>
        <v>0</v>
      </c>
      <c r="CY30" s="34"/>
      <c r="CZ30" s="34"/>
      <c r="DA30" s="34"/>
      <c r="DB30" s="34"/>
      <c r="DC30" s="140"/>
      <c r="DD30" s="140"/>
      <c r="DE30" s="140"/>
      <c r="DF30" s="140"/>
      <c r="DG30" s="140"/>
      <c r="DH30" s="140"/>
      <c r="DI30" s="140"/>
      <c r="DJ30" s="140"/>
      <c r="DK30" s="140"/>
      <c r="DL30" s="140"/>
      <c r="DM30" s="140"/>
      <c r="DN30" s="140"/>
      <c r="DO30" s="140"/>
      <c r="DP30" s="140"/>
      <c r="DQ30" s="140"/>
      <c r="DR30" s="140"/>
      <c r="DS30" s="140"/>
      <c r="DT30" s="140"/>
      <c r="DU30" s="140"/>
      <c r="DV30" s="140"/>
      <c r="DW30" s="140"/>
      <c r="DX30" s="140"/>
      <c r="DY30" s="140"/>
      <c r="DZ30" s="140"/>
      <c r="EA30" s="140"/>
      <c r="EB30" s="140"/>
      <c r="EC30" s="140"/>
      <c r="ED30" s="140"/>
      <c r="EE30" s="140"/>
      <c r="EF30" s="140"/>
      <c r="EG30" s="140"/>
      <c r="EH30" s="140"/>
      <c r="EI30" s="140"/>
      <c r="EJ30" s="140"/>
      <c r="EK30" s="140"/>
      <c r="EL30" s="140"/>
      <c r="EM30" s="140"/>
      <c r="EN30" s="140"/>
      <c r="EO30" s="140"/>
      <c r="EP30" s="140"/>
      <c r="EQ30" s="140"/>
      <c r="ER30" s="140"/>
      <c r="ES30" s="140"/>
      <c r="ET30" s="140"/>
      <c r="EU30" s="140"/>
      <c r="EV30" s="140"/>
      <c r="EW30" s="140"/>
      <c r="EX30" s="140"/>
    </row>
    <row r="31" spans="1:154" s="34" customFormat="1" x14ac:dyDescent="0.3">
      <c r="B31" s="61">
        <v>300000</v>
      </c>
      <c r="C31" s="56">
        <f t="shared" si="0"/>
        <v>0</v>
      </c>
      <c r="D31" s="76" t="s">
        <v>32</v>
      </c>
      <c r="E31" s="77">
        <f t="shared" si="37"/>
        <v>0</v>
      </c>
      <c r="F31" s="86">
        <v>0</v>
      </c>
      <c r="G31" s="86"/>
      <c r="H31" s="98"/>
      <c r="I31" s="99"/>
      <c r="J31" s="228">
        <f t="shared" si="38"/>
        <v>0</v>
      </c>
      <c r="K31" s="226">
        <f t="shared" si="39"/>
        <v>100</v>
      </c>
      <c r="L31" s="24"/>
      <c r="M31" s="83"/>
      <c r="N31" s="65"/>
      <c r="O31" s="65"/>
      <c r="P31" s="95"/>
      <c r="Q31" s="233"/>
      <c r="R31" s="233"/>
      <c r="S31" s="65"/>
      <c r="T31" s="71"/>
      <c r="U31" s="41"/>
      <c r="V31" s="114"/>
      <c r="W31" s="105"/>
      <c r="X31" s="252"/>
      <c r="Y31" s="105"/>
      <c r="Z31" s="252"/>
      <c r="AA31" s="105"/>
      <c r="AB31" s="252"/>
      <c r="AC31" s="105"/>
      <c r="AD31" s="252"/>
      <c r="AE31" s="105"/>
      <c r="AF31" s="117"/>
      <c r="AG31" s="24"/>
      <c r="AH31" s="59" t="s">
        <v>32</v>
      </c>
      <c r="AI31" s="31">
        <v>4980</v>
      </c>
      <c r="AJ31" s="25">
        <f t="shared" si="1"/>
        <v>0</v>
      </c>
      <c r="AK31" s="26">
        <v>74.75</v>
      </c>
      <c r="AL31" s="27">
        <f t="shared" si="2"/>
        <v>0</v>
      </c>
      <c r="AM31" s="26">
        <v>0</v>
      </c>
      <c r="AN31" s="28">
        <f t="shared" si="3"/>
        <v>0</v>
      </c>
      <c r="AO31" s="26">
        <v>0</v>
      </c>
      <c r="AP31" s="29">
        <f t="shared" si="4"/>
        <v>0</v>
      </c>
      <c r="AQ31" s="26">
        <v>0</v>
      </c>
      <c r="AR31" s="29">
        <f t="shared" si="5"/>
        <v>0</v>
      </c>
      <c r="AS31" s="35">
        <v>0</v>
      </c>
      <c r="AT31" s="29">
        <f t="shared" si="6"/>
        <v>0</v>
      </c>
      <c r="AU31" s="26">
        <v>0.5</v>
      </c>
      <c r="AV31" s="29">
        <f t="shared" si="7"/>
        <v>0</v>
      </c>
      <c r="AW31" s="26">
        <v>0</v>
      </c>
      <c r="AX31" s="30">
        <f t="shared" si="8"/>
        <v>0</v>
      </c>
      <c r="AY31" s="26">
        <v>0</v>
      </c>
      <c r="AZ31" s="30">
        <f t="shared" si="9"/>
        <v>0</v>
      </c>
      <c r="BA31" s="26">
        <v>0</v>
      </c>
      <c r="BB31" s="30">
        <f t="shared" si="10"/>
        <v>0</v>
      </c>
      <c r="BC31" s="26">
        <v>0</v>
      </c>
      <c r="BD31" s="30">
        <f t="shared" si="11"/>
        <v>0</v>
      </c>
      <c r="BE31" s="26">
        <v>0</v>
      </c>
      <c r="BF31" s="30">
        <f t="shared" si="12"/>
        <v>0</v>
      </c>
      <c r="BG31" s="26">
        <v>0</v>
      </c>
      <c r="BH31" s="30">
        <f t="shared" si="13"/>
        <v>0</v>
      </c>
      <c r="BI31" s="26">
        <v>0</v>
      </c>
      <c r="BJ31" s="30">
        <f t="shared" si="14"/>
        <v>0</v>
      </c>
      <c r="BK31" s="26">
        <v>0</v>
      </c>
      <c r="BL31" s="30">
        <f t="shared" si="15"/>
        <v>0</v>
      </c>
      <c r="BM31" s="26">
        <v>99</v>
      </c>
      <c r="BN31" s="30">
        <f t="shared" si="16"/>
        <v>0</v>
      </c>
      <c r="BO31" s="26">
        <v>0</v>
      </c>
      <c r="BP31" s="30">
        <f t="shared" si="17"/>
        <v>0</v>
      </c>
      <c r="BQ31" s="26">
        <v>0</v>
      </c>
      <c r="BR31" s="30">
        <f t="shared" si="18"/>
        <v>0</v>
      </c>
      <c r="BS31" s="26">
        <v>0</v>
      </c>
      <c r="BT31" s="30">
        <f t="shared" si="19"/>
        <v>0</v>
      </c>
      <c r="BU31" s="26">
        <v>0</v>
      </c>
      <c r="BV31" s="30">
        <f t="shared" si="20"/>
        <v>0</v>
      </c>
      <c r="BW31" s="26">
        <v>0</v>
      </c>
      <c r="BX31" s="30">
        <f t="shared" si="21"/>
        <v>0</v>
      </c>
      <c r="BY31" s="26">
        <v>0</v>
      </c>
      <c r="BZ31" s="30">
        <f t="shared" si="22"/>
        <v>0</v>
      </c>
      <c r="CA31" s="26">
        <v>0</v>
      </c>
      <c r="CB31" s="30">
        <f t="shared" si="23"/>
        <v>0</v>
      </c>
      <c r="CC31" s="26">
        <v>0</v>
      </c>
      <c r="CD31" s="29">
        <f t="shared" si="24"/>
        <v>0</v>
      </c>
      <c r="CE31" s="31">
        <v>0</v>
      </c>
      <c r="CF31" s="29">
        <f t="shared" si="26"/>
        <v>0</v>
      </c>
      <c r="CG31" s="26">
        <v>0</v>
      </c>
      <c r="CH31" s="30">
        <f t="shared" si="27"/>
        <v>0</v>
      </c>
      <c r="CI31" s="26">
        <v>0</v>
      </c>
      <c r="CJ31" s="29">
        <f t="shared" si="28"/>
        <v>0</v>
      </c>
      <c r="CK31" s="26">
        <v>0</v>
      </c>
      <c r="CL31" s="29">
        <f t="shared" si="29"/>
        <v>0</v>
      </c>
      <c r="CM31" s="26">
        <v>0</v>
      </c>
      <c r="CN31" s="29">
        <f t="shared" si="30"/>
        <v>0</v>
      </c>
      <c r="CO31" s="26">
        <v>0</v>
      </c>
      <c r="CP31" s="29">
        <f t="shared" si="31"/>
        <v>0</v>
      </c>
      <c r="CQ31" s="26">
        <v>0</v>
      </c>
      <c r="CR31" s="29">
        <f t="shared" si="32"/>
        <v>0</v>
      </c>
      <c r="CS31" s="26">
        <v>0</v>
      </c>
      <c r="CT31" s="29">
        <f t="shared" si="33"/>
        <v>0</v>
      </c>
      <c r="CU31" s="26">
        <v>0</v>
      </c>
      <c r="CV31" s="29">
        <f t="shared" si="35"/>
        <v>0</v>
      </c>
      <c r="CW31" s="32">
        <v>98</v>
      </c>
      <c r="CX31" s="33">
        <f t="shared" si="36"/>
        <v>0</v>
      </c>
      <c r="DC31" s="140"/>
      <c r="DD31" s="140"/>
      <c r="DE31" s="140"/>
      <c r="DF31" s="140"/>
      <c r="DG31" s="140"/>
      <c r="DH31" s="140"/>
      <c r="DI31" s="140"/>
      <c r="DJ31" s="140"/>
      <c r="DK31" s="140"/>
      <c r="DL31" s="140"/>
      <c r="DM31" s="140"/>
      <c r="DN31" s="140"/>
      <c r="DO31" s="140"/>
      <c r="DP31" s="140"/>
      <c r="DQ31" s="140"/>
      <c r="DR31" s="140"/>
      <c r="DS31" s="140"/>
      <c r="DT31" s="140"/>
      <c r="DU31" s="140"/>
      <c r="DV31" s="140"/>
      <c r="DW31" s="140"/>
      <c r="DX31" s="140"/>
      <c r="DY31" s="140"/>
      <c r="DZ31" s="140"/>
      <c r="EA31" s="140"/>
      <c r="EB31" s="140"/>
      <c r="EC31" s="140"/>
      <c r="ED31" s="140"/>
      <c r="EE31" s="140"/>
      <c r="EF31" s="140"/>
      <c r="EG31" s="140"/>
      <c r="EH31" s="140"/>
      <c r="EI31" s="140"/>
      <c r="EJ31" s="140"/>
      <c r="EK31" s="140"/>
      <c r="EL31" s="140"/>
      <c r="EM31" s="140"/>
      <c r="EN31" s="140"/>
      <c r="EO31" s="140"/>
      <c r="EP31" s="140"/>
      <c r="EQ31" s="140"/>
      <c r="ER31" s="140"/>
      <c r="ES31" s="140"/>
      <c r="ET31" s="140"/>
      <c r="EU31" s="140"/>
      <c r="EV31" s="140"/>
      <c r="EW31" s="140"/>
      <c r="EX31" s="140"/>
    </row>
    <row r="32" spans="1:154" s="1" customFormat="1" x14ac:dyDescent="0.3">
      <c r="A32" s="34"/>
      <c r="B32" s="62">
        <v>400000</v>
      </c>
      <c r="C32" s="55">
        <f t="shared" si="0"/>
        <v>0</v>
      </c>
      <c r="D32" s="78" t="s">
        <v>39</v>
      </c>
      <c r="E32" s="79">
        <f t="shared" si="37"/>
        <v>0</v>
      </c>
      <c r="F32" s="87">
        <v>0</v>
      </c>
      <c r="G32" s="87"/>
      <c r="H32" s="100"/>
      <c r="I32" s="101">
        <v>0</v>
      </c>
      <c r="J32" s="228">
        <f t="shared" si="38"/>
        <v>0</v>
      </c>
      <c r="K32" s="226">
        <f t="shared" si="39"/>
        <v>0</v>
      </c>
      <c r="L32" s="24"/>
      <c r="M32" s="84"/>
      <c r="N32" s="66"/>
      <c r="O32" s="66"/>
      <c r="P32" s="96"/>
      <c r="Q32" s="235"/>
      <c r="R32" s="235"/>
      <c r="S32" s="66"/>
      <c r="T32" s="70"/>
      <c r="U32" s="41"/>
      <c r="V32" s="114"/>
      <c r="W32" s="104"/>
      <c r="X32" s="252"/>
      <c r="Y32" s="104"/>
      <c r="Z32" s="252"/>
      <c r="AA32" s="104"/>
      <c r="AB32" s="252"/>
      <c r="AC32" s="104"/>
      <c r="AD32" s="252"/>
      <c r="AE32" s="104"/>
      <c r="AF32" s="117"/>
      <c r="AG32" s="24"/>
      <c r="AH32" s="60" t="s">
        <v>39</v>
      </c>
      <c r="AI32" s="21">
        <v>2840</v>
      </c>
      <c r="AJ32" s="6">
        <f t="shared" si="1"/>
        <v>0</v>
      </c>
      <c r="AK32" s="10">
        <v>65.8</v>
      </c>
      <c r="AL32" s="7">
        <f t="shared" si="2"/>
        <v>0</v>
      </c>
      <c r="AM32" s="10">
        <v>0</v>
      </c>
      <c r="AN32" s="13">
        <f t="shared" si="3"/>
        <v>0</v>
      </c>
      <c r="AO32" s="10">
        <v>0</v>
      </c>
      <c r="AP32" s="14">
        <f t="shared" si="4"/>
        <v>0</v>
      </c>
      <c r="AQ32" s="10">
        <v>0</v>
      </c>
      <c r="AR32" s="14">
        <f t="shared" si="5"/>
        <v>0</v>
      </c>
      <c r="AS32" s="10">
        <v>0</v>
      </c>
      <c r="AT32" s="14">
        <f t="shared" si="6"/>
        <v>0</v>
      </c>
      <c r="AU32" s="10">
        <v>0.5</v>
      </c>
      <c r="AV32" s="14">
        <f t="shared" si="7"/>
        <v>0</v>
      </c>
      <c r="AW32" s="10">
        <v>0</v>
      </c>
      <c r="AX32" s="17">
        <f t="shared" si="8"/>
        <v>0</v>
      </c>
      <c r="AY32" s="10">
        <v>0</v>
      </c>
      <c r="AZ32" s="17">
        <f t="shared" si="9"/>
        <v>0</v>
      </c>
      <c r="BA32" s="10">
        <v>0</v>
      </c>
      <c r="BB32" s="17">
        <f t="shared" si="10"/>
        <v>0</v>
      </c>
      <c r="BC32" s="10">
        <v>0</v>
      </c>
      <c r="BD32" s="17">
        <f t="shared" si="11"/>
        <v>0</v>
      </c>
      <c r="BE32" s="10">
        <v>0</v>
      </c>
      <c r="BF32" s="17">
        <f t="shared" si="12"/>
        <v>0</v>
      </c>
      <c r="BG32" s="10">
        <v>0</v>
      </c>
      <c r="BH32" s="17">
        <f t="shared" si="13"/>
        <v>0</v>
      </c>
      <c r="BI32" s="10">
        <v>90</v>
      </c>
      <c r="BJ32" s="17">
        <f t="shared" si="14"/>
        <v>0</v>
      </c>
      <c r="BK32" s="10">
        <v>0</v>
      </c>
      <c r="BL32" s="17">
        <f t="shared" si="15"/>
        <v>0</v>
      </c>
      <c r="BM32" s="10">
        <v>0</v>
      </c>
      <c r="BN32" s="17">
        <f t="shared" si="16"/>
        <v>0</v>
      </c>
      <c r="BO32" s="10">
        <v>0</v>
      </c>
      <c r="BP32" s="17">
        <f t="shared" si="17"/>
        <v>0</v>
      </c>
      <c r="BQ32" s="10">
        <v>0</v>
      </c>
      <c r="BR32" s="17">
        <f t="shared" si="18"/>
        <v>0</v>
      </c>
      <c r="BS32" s="10">
        <v>0</v>
      </c>
      <c r="BT32" s="17">
        <f t="shared" si="19"/>
        <v>0</v>
      </c>
      <c r="BU32" s="12">
        <v>0</v>
      </c>
      <c r="BV32" s="18">
        <f t="shared" si="20"/>
        <v>0</v>
      </c>
      <c r="BW32" s="10">
        <v>0</v>
      </c>
      <c r="BX32" s="17">
        <f t="shared" si="21"/>
        <v>0</v>
      </c>
      <c r="BY32" s="10">
        <v>0</v>
      </c>
      <c r="BZ32" s="17">
        <f t="shared" si="22"/>
        <v>0</v>
      </c>
      <c r="CA32" s="10">
        <v>0</v>
      </c>
      <c r="CB32" s="17">
        <f t="shared" si="23"/>
        <v>0</v>
      </c>
      <c r="CC32" s="10">
        <v>0</v>
      </c>
      <c r="CD32" s="14">
        <f t="shared" si="24"/>
        <v>0</v>
      </c>
      <c r="CE32" s="21">
        <v>0</v>
      </c>
      <c r="CF32" s="14">
        <f t="shared" si="26"/>
        <v>0</v>
      </c>
      <c r="CG32" s="10">
        <v>0</v>
      </c>
      <c r="CH32" s="17">
        <f t="shared" si="27"/>
        <v>0</v>
      </c>
      <c r="CI32" s="10">
        <v>0</v>
      </c>
      <c r="CJ32" s="14">
        <f t="shared" si="28"/>
        <v>0</v>
      </c>
      <c r="CK32" s="10">
        <v>0</v>
      </c>
      <c r="CL32" s="14">
        <f t="shared" si="29"/>
        <v>0</v>
      </c>
      <c r="CM32" s="10">
        <v>0</v>
      </c>
      <c r="CN32" s="14">
        <f t="shared" si="30"/>
        <v>0</v>
      </c>
      <c r="CO32" s="10">
        <v>0</v>
      </c>
      <c r="CP32" s="14">
        <f t="shared" si="31"/>
        <v>0</v>
      </c>
      <c r="CQ32" s="10">
        <v>0</v>
      </c>
      <c r="CR32" s="14">
        <f t="shared" si="32"/>
        <v>0</v>
      </c>
      <c r="CS32" s="10">
        <v>0</v>
      </c>
      <c r="CT32" s="14">
        <f t="shared" si="33"/>
        <v>0</v>
      </c>
      <c r="CU32" s="10">
        <v>0</v>
      </c>
      <c r="CV32" s="14">
        <f t="shared" si="35"/>
        <v>0</v>
      </c>
      <c r="CW32" s="11">
        <v>98</v>
      </c>
      <c r="CX32" s="20">
        <f t="shared" si="36"/>
        <v>0</v>
      </c>
      <c r="CY32" s="34"/>
      <c r="CZ32" s="34"/>
      <c r="DA32" s="34"/>
      <c r="DB32" s="34"/>
      <c r="DC32" s="140"/>
      <c r="DD32" s="140"/>
      <c r="DE32" s="140"/>
      <c r="DF32" s="140"/>
      <c r="DG32" s="140"/>
      <c r="DH32" s="140"/>
      <c r="DI32" s="140"/>
      <c r="DJ32" s="140"/>
      <c r="DK32" s="140"/>
      <c r="DL32" s="140"/>
      <c r="DM32" s="140"/>
      <c r="DN32" s="140"/>
      <c r="DO32" s="140"/>
      <c r="DP32" s="140"/>
      <c r="DQ32" s="140"/>
      <c r="DR32" s="140"/>
      <c r="DS32" s="140"/>
      <c r="DT32" s="140"/>
      <c r="DU32" s="140"/>
      <c r="DV32" s="140"/>
      <c r="DW32" s="140"/>
      <c r="DX32" s="140"/>
      <c r="DY32" s="140"/>
      <c r="DZ32" s="140"/>
      <c r="EA32" s="140"/>
      <c r="EB32" s="140"/>
      <c r="EC32" s="140"/>
      <c r="ED32" s="140"/>
      <c r="EE32" s="140"/>
      <c r="EF32" s="140"/>
      <c r="EG32" s="140"/>
      <c r="EH32" s="140"/>
      <c r="EI32" s="140"/>
      <c r="EJ32" s="140"/>
      <c r="EK32" s="140"/>
      <c r="EL32" s="140"/>
      <c r="EM32" s="140"/>
      <c r="EN32" s="140"/>
      <c r="EO32" s="140"/>
      <c r="EP32" s="140"/>
      <c r="EQ32" s="140"/>
      <c r="ER32" s="140"/>
      <c r="ES32" s="140"/>
      <c r="ET32" s="140"/>
      <c r="EU32" s="140"/>
      <c r="EV32" s="140"/>
      <c r="EW32" s="140"/>
      <c r="EX32" s="140"/>
    </row>
    <row r="33" spans="1:154" s="34" customFormat="1" x14ac:dyDescent="0.3">
      <c r="B33" s="61">
        <v>300000</v>
      </c>
      <c r="C33" s="56">
        <f t="shared" si="0"/>
        <v>0</v>
      </c>
      <c r="D33" s="76" t="s">
        <v>33</v>
      </c>
      <c r="E33" s="77">
        <f t="shared" si="37"/>
        <v>0</v>
      </c>
      <c r="F33" s="86">
        <v>0</v>
      </c>
      <c r="G33" s="86"/>
      <c r="H33" s="98"/>
      <c r="I33" s="99"/>
      <c r="J33" s="228">
        <f t="shared" si="38"/>
        <v>0</v>
      </c>
      <c r="K33" s="226">
        <f t="shared" si="39"/>
        <v>100</v>
      </c>
      <c r="L33" s="24"/>
      <c r="M33" s="83"/>
      <c r="N33" s="65"/>
      <c r="O33" s="65"/>
      <c r="P33" s="95"/>
      <c r="Q33" s="233"/>
      <c r="R33" s="233"/>
      <c r="S33" s="65"/>
      <c r="T33" s="71"/>
      <c r="U33" s="41"/>
      <c r="V33" s="114"/>
      <c r="W33" s="105"/>
      <c r="X33" s="252"/>
      <c r="Y33" s="105"/>
      <c r="Z33" s="252"/>
      <c r="AA33" s="105"/>
      <c r="AB33" s="252"/>
      <c r="AC33" s="105"/>
      <c r="AD33" s="252"/>
      <c r="AE33" s="105"/>
      <c r="AF33" s="117"/>
      <c r="AG33" s="24"/>
      <c r="AH33" s="59" t="s">
        <v>33</v>
      </c>
      <c r="AI33" s="31">
        <v>2940</v>
      </c>
      <c r="AJ33" s="25">
        <f t="shared" si="1"/>
        <v>0</v>
      </c>
      <c r="AK33" s="26">
        <v>201</v>
      </c>
      <c r="AL33" s="27">
        <f t="shared" si="2"/>
        <v>0</v>
      </c>
      <c r="AM33" s="26">
        <v>0</v>
      </c>
      <c r="AN33" s="28">
        <f t="shared" si="3"/>
        <v>0</v>
      </c>
      <c r="AO33" s="26">
        <v>0</v>
      </c>
      <c r="AP33" s="29">
        <f t="shared" si="4"/>
        <v>0</v>
      </c>
      <c r="AQ33" s="26">
        <v>0</v>
      </c>
      <c r="AR33" s="29">
        <f t="shared" si="5"/>
        <v>0</v>
      </c>
      <c r="AS33" s="26">
        <v>0</v>
      </c>
      <c r="AT33" s="29">
        <f t="shared" si="6"/>
        <v>0</v>
      </c>
      <c r="AU33" s="26">
        <v>0.5</v>
      </c>
      <c r="AV33" s="29">
        <f t="shared" si="7"/>
        <v>0</v>
      </c>
      <c r="AW33" s="26">
        <v>0</v>
      </c>
      <c r="AX33" s="30">
        <f t="shared" si="8"/>
        <v>0</v>
      </c>
      <c r="AY33" s="26">
        <v>0</v>
      </c>
      <c r="AZ33" s="30">
        <f t="shared" si="9"/>
        <v>0</v>
      </c>
      <c r="BA33" s="26">
        <v>0</v>
      </c>
      <c r="BB33" s="30">
        <f t="shared" si="10"/>
        <v>0</v>
      </c>
      <c r="BC33" s="26">
        <v>0</v>
      </c>
      <c r="BD33" s="30">
        <f t="shared" si="11"/>
        <v>0</v>
      </c>
      <c r="BE33" s="26">
        <v>0</v>
      </c>
      <c r="BF33" s="30">
        <f t="shared" si="12"/>
        <v>0</v>
      </c>
      <c r="BG33" s="26">
        <v>99</v>
      </c>
      <c r="BH33" s="30">
        <f t="shared" si="13"/>
        <v>0</v>
      </c>
      <c r="BI33" s="26">
        <v>0</v>
      </c>
      <c r="BJ33" s="30">
        <f t="shared" si="14"/>
        <v>0</v>
      </c>
      <c r="BK33" s="26">
        <v>0</v>
      </c>
      <c r="BL33" s="30">
        <f t="shared" si="15"/>
        <v>0</v>
      </c>
      <c r="BM33" s="26">
        <v>0</v>
      </c>
      <c r="BN33" s="30">
        <f t="shared" si="16"/>
        <v>0</v>
      </c>
      <c r="BO33" s="26">
        <v>0</v>
      </c>
      <c r="BP33" s="30">
        <f t="shared" si="17"/>
        <v>0</v>
      </c>
      <c r="BQ33" s="26">
        <v>0</v>
      </c>
      <c r="BR33" s="30">
        <f t="shared" si="18"/>
        <v>0</v>
      </c>
      <c r="BS33" s="26">
        <v>0</v>
      </c>
      <c r="BT33" s="30">
        <f t="shared" si="19"/>
        <v>0</v>
      </c>
      <c r="BU33" s="26">
        <v>0</v>
      </c>
      <c r="BV33" s="30">
        <f t="shared" si="20"/>
        <v>0</v>
      </c>
      <c r="BW33" s="26">
        <v>0</v>
      </c>
      <c r="BX33" s="30">
        <f t="shared" si="21"/>
        <v>0</v>
      </c>
      <c r="BY33" s="26">
        <v>0</v>
      </c>
      <c r="BZ33" s="30">
        <f t="shared" si="22"/>
        <v>0</v>
      </c>
      <c r="CA33" s="26">
        <v>0</v>
      </c>
      <c r="CB33" s="30">
        <f t="shared" si="23"/>
        <v>0</v>
      </c>
      <c r="CC33" s="26">
        <v>0</v>
      </c>
      <c r="CD33" s="29">
        <f t="shared" si="24"/>
        <v>0</v>
      </c>
      <c r="CE33" s="31">
        <v>0</v>
      </c>
      <c r="CF33" s="29">
        <f t="shared" si="26"/>
        <v>0</v>
      </c>
      <c r="CG33" s="26">
        <v>0</v>
      </c>
      <c r="CH33" s="30">
        <f t="shared" si="27"/>
        <v>0</v>
      </c>
      <c r="CI33" s="26">
        <v>0</v>
      </c>
      <c r="CJ33" s="29">
        <f t="shared" si="28"/>
        <v>0</v>
      </c>
      <c r="CK33" s="26">
        <v>0</v>
      </c>
      <c r="CL33" s="29">
        <f t="shared" si="29"/>
        <v>0</v>
      </c>
      <c r="CM33" s="26">
        <v>0</v>
      </c>
      <c r="CN33" s="29">
        <f t="shared" si="30"/>
        <v>0</v>
      </c>
      <c r="CO33" s="26">
        <v>0</v>
      </c>
      <c r="CP33" s="29">
        <f t="shared" si="31"/>
        <v>0</v>
      </c>
      <c r="CQ33" s="26">
        <v>0</v>
      </c>
      <c r="CR33" s="29">
        <f t="shared" si="32"/>
        <v>0</v>
      </c>
      <c r="CS33" s="26">
        <v>0</v>
      </c>
      <c r="CT33" s="29">
        <f t="shared" si="33"/>
        <v>0</v>
      </c>
      <c r="CU33" s="26">
        <v>0</v>
      </c>
      <c r="CV33" s="29">
        <f t="shared" si="35"/>
        <v>0</v>
      </c>
      <c r="CW33" s="32">
        <v>98</v>
      </c>
      <c r="CX33" s="33">
        <f t="shared" si="36"/>
        <v>0</v>
      </c>
      <c r="DC33" s="140"/>
      <c r="DD33" s="140"/>
      <c r="DE33" s="140"/>
      <c r="DF33" s="140"/>
      <c r="DG33" s="140"/>
      <c r="DH33" s="140"/>
      <c r="DI33" s="140"/>
      <c r="DJ33" s="140"/>
      <c r="DK33" s="140"/>
      <c r="DL33" s="140"/>
      <c r="DM33" s="140"/>
      <c r="DN33" s="140"/>
      <c r="DO33" s="140"/>
      <c r="DP33" s="140"/>
      <c r="DQ33" s="140"/>
      <c r="DR33" s="140"/>
      <c r="DS33" s="140"/>
      <c r="DT33" s="140"/>
      <c r="DU33" s="140"/>
      <c r="DV33" s="140"/>
      <c r="DW33" s="140"/>
      <c r="DX33" s="140"/>
      <c r="DY33" s="140"/>
      <c r="DZ33" s="140"/>
      <c r="EA33" s="140"/>
      <c r="EB33" s="140"/>
      <c r="EC33" s="140"/>
      <c r="ED33" s="140"/>
      <c r="EE33" s="140"/>
      <c r="EF33" s="140"/>
      <c r="EG33" s="140"/>
      <c r="EH33" s="140"/>
      <c r="EI33" s="140"/>
      <c r="EJ33" s="140"/>
      <c r="EK33" s="140"/>
      <c r="EL33" s="140"/>
      <c r="EM33" s="140"/>
      <c r="EN33" s="140"/>
      <c r="EO33" s="140"/>
      <c r="EP33" s="140"/>
      <c r="EQ33" s="140"/>
      <c r="ER33" s="140"/>
      <c r="ES33" s="140"/>
      <c r="ET33" s="140"/>
      <c r="EU33" s="140"/>
      <c r="EV33" s="140"/>
      <c r="EW33" s="140"/>
      <c r="EX33" s="140"/>
    </row>
    <row r="34" spans="1:154" s="1" customFormat="1" x14ac:dyDescent="0.3">
      <c r="A34" s="34"/>
      <c r="B34" s="62">
        <v>60000</v>
      </c>
      <c r="C34" s="55">
        <f t="shared" si="0"/>
        <v>0</v>
      </c>
      <c r="D34" s="78" t="s">
        <v>34</v>
      </c>
      <c r="E34" s="79">
        <f t="shared" si="37"/>
        <v>0</v>
      </c>
      <c r="F34" s="87">
        <v>0</v>
      </c>
      <c r="G34" s="87"/>
      <c r="H34" s="100"/>
      <c r="I34" s="101"/>
      <c r="J34" s="228">
        <f t="shared" si="38"/>
        <v>0</v>
      </c>
      <c r="K34" s="226">
        <f t="shared" si="39"/>
        <v>100</v>
      </c>
      <c r="L34" s="24"/>
      <c r="M34" s="84"/>
      <c r="N34" s="66"/>
      <c r="O34" s="66"/>
      <c r="P34" s="96"/>
      <c r="Q34" s="235"/>
      <c r="R34" s="235"/>
      <c r="S34" s="66"/>
      <c r="T34" s="70"/>
      <c r="U34" s="41"/>
      <c r="V34" s="114"/>
      <c r="W34" s="104"/>
      <c r="X34" s="252"/>
      <c r="Y34" s="104"/>
      <c r="Z34" s="252"/>
      <c r="AA34" s="104"/>
      <c r="AB34" s="252"/>
      <c r="AC34" s="104"/>
      <c r="AD34" s="252"/>
      <c r="AE34" s="104"/>
      <c r="AF34" s="117"/>
      <c r="AG34" s="24"/>
      <c r="AH34" s="60" t="s">
        <v>34</v>
      </c>
      <c r="AI34" s="21">
        <v>0</v>
      </c>
      <c r="AJ34" s="6">
        <f t="shared" si="1"/>
        <v>0</v>
      </c>
      <c r="AK34" s="10">
        <v>0</v>
      </c>
      <c r="AL34" s="7">
        <f t="shared" si="2"/>
        <v>0</v>
      </c>
      <c r="AM34" s="10">
        <v>0</v>
      </c>
      <c r="AN34" s="13">
        <f t="shared" si="3"/>
        <v>0</v>
      </c>
      <c r="AO34" s="10">
        <v>0</v>
      </c>
      <c r="AP34" s="14">
        <f t="shared" si="4"/>
        <v>0</v>
      </c>
      <c r="AQ34" s="10">
        <v>0</v>
      </c>
      <c r="AR34" s="14">
        <f t="shared" si="5"/>
        <v>0</v>
      </c>
      <c r="AS34" s="10">
        <v>0</v>
      </c>
      <c r="AT34" s="14">
        <f t="shared" si="6"/>
        <v>0</v>
      </c>
      <c r="AU34" s="10">
        <v>0.5</v>
      </c>
      <c r="AV34" s="14">
        <f t="shared" si="7"/>
        <v>0</v>
      </c>
      <c r="AW34" s="10">
        <v>0</v>
      </c>
      <c r="AX34" s="17">
        <f t="shared" si="8"/>
        <v>0</v>
      </c>
      <c r="AY34" s="10">
        <v>0</v>
      </c>
      <c r="AZ34" s="17">
        <f t="shared" si="9"/>
        <v>0</v>
      </c>
      <c r="BA34" s="10">
        <v>0</v>
      </c>
      <c r="BB34" s="17">
        <f t="shared" si="10"/>
        <v>0</v>
      </c>
      <c r="BC34" s="10">
        <v>0</v>
      </c>
      <c r="BD34" s="17">
        <f t="shared" si="11"/>
        <v>0</v>
      </c>
      <c r="BE34" s="10">
        <v>0</v>
      </c>
      <c r="BF34" s="17">
        <f t="shared" si="12"/>
        <v>0</v>
      </c>
      <c r="BG34" s="10">
        <v>0</v>
      </c>
      <c r="BH34" s="17">
        <f t="shared" si="13"/>
        <v>0</v>
      </c>
      <c r="BI34" s="10">
        <v>0</v>
      </c>
      <c r="BJ34" s="17">
        <f t="shared" si="14"/>
        <v>0</v>
      </c>
      <c r="BK34" s="10">
        <v>0</v>
      </c>
      <c r="BL34" s="17">
        <f t="shared" si="15"/>
        <v>0</v>
      </c>
      <c r="BM34" s="10">
        <v>0</v>
      </c>
      <c r="BN34" s="17">
        <f t="shared" si="16"/>
        <v>0</v>
      </c>
      <c r="BO34" s="10">
        <v>0</v>
      </c>
      <c r="BP34" s="17">
        <f t="shared" si="17"/>
        <v>0</v>
      </c>
      <c r="BQ34" s="10">
        <v>0</v>
      </c>
      <c r="BR34" s="17">
        <f t="shared" si="18"/>
        <v>0</v>
      </c>
      <c r="BS34" s="10">
        <v>0</v>
      </c>
      <c r="BT34" s="17">
        <f t="shared" si="19"/>
        <v>0</v>
      </c>
      <c r="BU34" s="12">
        <v>0</v>
      </c>
      <c r="BV34" s="18">
        <f t="shared" si="20"/>
        <v>0</v>
      </c>
      <c r="BW34" s="10">
        <v>0</v>
      </c>
      <c r="BX34" s="17">
        <f t="shared" si="21"/>
        <v>0</v>
      </c>
      <c r="BY34" s="10">
        <v>0</v>
      </c>
      <c r="BZ34" s="17">
        <f t="shared" si="22"/>
        <v>0</v>
      </c>
      <c r="CA34" s="10">
        <v>15.2</v>
      </c>
      <c r="CB34" s="17">
        <f t="shared" si="23"/>
        <v>0</v>
      </c>
      <c r="CC34" s="10">
        <v>0</v>
      </c>
      <c r="CD34" s="14">
        <f t="shared" si="24"/>
        <v>0</v>
      </c>
      <c r="CE34" s="21">
        <f>(BW34*435)+(BY34*256)-(CA34*282)</f>
        <v>-4286.3999999999996</v>
      </c>
      <c r="CF34" s="14">
        <f t="shared" si="26"/>
        <v>0</v>
      </c>
      <c r="CG34" s="10">
        <v>500</v>
      </c>
      <c r="CH34" s="17">
        <f t="shared" si="27"/>
        <v>0</v>
      </c>
      <c r="CI34" s="10">
        <v>0</v>
      </c>
      <c r="CJ34" s="14">
        <f t="shared" si="28"/>
        <v>0</v>
      </c>
      <c r="CK34" s="10">
        <v>0</v>
      </c>
      <c r="CL34" s="14">
        <f t="shared" si="29"/>
        <v>0</v>
      </c>
      <c r="CM34" s="10">
        <v>0</v>
      </c>
      <c r="CN34" s="14">
        <f t="shared" si="30"/>
        <v>0</v>
      </c>
      <c r="CO34" s="10">
        <v>0</v>
      </c>
      <c r="CP34" s="14">
        <f t="shared" si="31"/>
        <v>0</v>
      </c>
      <c r="CQ34" s="10">
        <v>0</v>
      </c>
      <c r="CR34" s="14">
        <f t="shared" si="32"/>
        <v>0</v>
      </c>
      <c r="CS34" s="10">
        <v>0</v>
      </c>
      <c r="CT34" s="14">
        <f t="shared" si="33"/>
        <v>0</v>
      </c>
      <c r="CU34" s="10">
        <v>0</v>
      </c>
      <c r="CV34" s="14">
        <f t="shared" si="35"/>
        <v>0</v>
      </c>
      <c r="CW34" s="11">
        <v>97</v>
      </c>
      <c r="CX34" s="20">
        <f t="shared" si="36"/>
        <v>0</v>
      </c>
      <c r="CY34" s="34"/>
      <c r="CZ34" s="34"/>
      <c r="DA34" s="34"/>
      <c r="DB34" s="34"/>
      <c r="DC34" s="140"/>
      <c r="DD34" s="140"/>
      <c r="DE34" s="140"/>
      <c r="DF34" s="140"/>
      <c r="DG34" s="140"/>
      <c r="DH34" s="140"/>
      <c r="DI34" s="140"/>
      <c r="DJ34" s="140"/>
      <c r="DK34" s="140"/>
      <c r="DL34" s="140"/>
      <c r="DM34" s="140"/>
      <c r="DN34" s="140"/>
      <c r="DO34" s="140"/>
      <c r="DP34" s="140"/>
      <c r="DQ34" s="140"/>
      <c r="DR34" s="140"/>
      <c r="DS34" s="140"/>
      <c r="DT34" s="140"/>
      <c r="DU34" s="140"/>
      <c r="DV34" s="140"/>
      <c r="DW34" s="140"/>
      <c r="DX34" s="140"/>
      <c r="DY34" s="140"/>
      <c r="DZ34" s="140"/>
      <c r="EA34" s="140"/>
      <c r="EB34" s="140"/>
      <c r="EC34" s="140"/>
      <c r="ED34" s="140"/>
      <c r="EE34" s="140"/>
      <c r="EF34" s="140"/>
      <c r="EG34" s="140"/>
      <c r="EH34" s="140"/>
      <c r="EI34" s="140"/>
      <c r="EJ34" s="140"/>
      <c r="EK34" s="140"/>
      <c r="EL34" s="140"/>
      <c r="EM34" s="140"/>
      <c r="EN34" s="140"/>
      <c r="EO34" s="140"/>
      <c r="EP34" s="140"/>
      <c r="EQ34" s="140"/>
      <c r="ER34" s="140"/>
      <c r="ES34" s="140"/>
      <c r="ET34" s="140"/>
      <c r="EU34" s="140"/>
      <c r="EV34" s="140"/>
      <c r="EW34" s="140"/>
      <c r="EX34" s="140"/>
    </row>
    <row r="35" spans="1:154" s="34" customFormat="1" x14ac:dyDescent="0.3">
      <c r="B35" s="61">
        <v>55000</v>
      </c>
      <c r="C35" s="56">
        <f t="shared" si="0"/>
        <v>0</v>
      </c>
      <c r="D35" s="76" t="s">
        <v>35</v>
      </c>
      <c r="E35" s="77">
        <f t="shared" si="37"/>
        <v>0</v>
      </c>
      <c r="F35" s="86">
        <v>0</v>
      </c>
      <c r="G35" s="86"/>
      <c r="H35" s="98"/>
      <c r="I35" s="99"/>
      <c r="J35" s="228">
        <f t="shared" si="38"/>
        <v>0</v>
      </c>
      <c r="K35" s="226">
        <f t="shared" si="39"/>
        <v>100</v>
      </c>
      <c r="L35" s="24"/>
      <c r="M35" s="83"/>
      <c r="N35" s="65"/>
      <c r="O35" s="65"/>
      <c r="P35" s="95"/>
      <c r="Q35" s="233"/>
      <c r="R35" s="233"/>
      <c r="S35" s="65"/>
      <c r="T35" s="71"/>
      <c r="U35" s="41"/>
      <c r="V35" s="114"/>
      <c r="W35" s="105"/>
      <c r="X35" s="252"/>
      <c r="Y35" s="105"/>
      <c r="Z35" s="252"/>
      <c r="AA35" s="105"/>
      <c r="AB35" s="252"/>
      <c r="AC35" s="105"/>
      <c r="AD35" s="252"/>
      <c r="AE35" s="105"/>
      <c r="AF35" s="117"/>
      <c r="AG35" s="24"/>
      <c r="AH35" s="59" t="s">
        <v>35</v>
      </c>
      <c r="AI35" s="31">
        <v>0</v>
      </c>
      <c r="AJ35" s="25">
        <f t="shared" si="1"/>
        <v>0</v>
      </c>
      <c r="AK35" s="26">
        <v>0</v>
      </c>
      <c r="AL35" s="27">
        <f t="shared" si="2"/>
        <v>0</v>
      </c>
      <c r="AM35" s="26">
        <v>0</v>
      </c>
      <c r="AN35" s="28">
        <f t="shared" si="3"/>
        <v>0</v>
      </c>
      <c r="AO35" s="26">
        <v>0</v>
      </c>
      <c r="AP35" s="29">
        <f t="shared" si="4"/>
        <v>0</v>
      </c>
      <c r="AQ35" s="26">
        <v>0</v>
      </c>
      <c r="AR35" s="29">
        <f t="shared" si="5"/>
        <v>0</v>
      </c>
      <c r="AS35" s="26">
        <v>0</v>
      </c>
      <c r="AT35" s="29">
        <f t="shared" si="6"/>
        <v>0</v>
      </c>
      <c r="AU35" s="26">
        <v>99</v>
      </c>
      <c r="AV35" s="29">
        <f t="shared" si="7"/>
        <v>0</v>
      </c>
      <c r="AW35" s="26">
        <v>0</v>
      </c>
      <c r="AX35" s="30">
        <f t="shared" si="8"/>
        <v>0</v>
      </c>
      <c r="AY35" s="26">
        <v>0</v>
      </c>
      <c r="AZ35" s="30">
        <f t="shared" si="9"/>
        <v>0</v>
      </c>
      <c r="BA35" s="26">
        <v>0</v>
      </c>
      <c r="BB35" s="30">
        <f t="shared" si="10"/>
        <v>0</v>
      </c>
      <c r="BC35" s="26">
        <v>0</v>
      </c>
      <c r="BD35" s="30">
        <f t="shared" si="11"/>
        <v>0</v>
      </c>
      <c r="BE35" s="26">
        <v>0</v>
      </c>
      <c r="BF35" s="30">
        <f t="shared" si="12"/>
        <v>0</v>
      </c>
      <c r="BG35" s="26">
        <v>0</v>
      </c>
      <c r="BH35" s="30">
        <f t="shared" si="13"/>
        <v>0</v>
      </c>
      <c r="BI35" s="26">
        <v>0</v>
      </c>
      <c r="BJ35" s="30">
        <f t="shared" si="14"/>
        <v>0</v>
      </c>
      <c r="BK35" s="26">
        <v>0</v>
      </c>
      <c r="BL35" s="30">
        <f t="shared" si="15"/>
        <v>0</v>
      </c>
      <c r="BM35" s="26">
        <v>0</v>
      </c>
      <c r="BN35" s="30">
        <f t="shared" si="16"/>
        <v>0</v>
      </c>
      <c r="BO35" s="26">
        <v>22</v>
      </c>
      <c r="BP35" s="30">
        <f t="shared" si="17"/>
        <v>0</v>
      </c>
      <c r="BQ35" s="26">
        <v>19</v>
      </c>
      <c r="BR35" s="30">
        <f t="shared" si="18"/>
        <v>0</v>
      </c>
      <c r="BS35" s="26">
        <f>BQ35*0.85</f>
        <v>16.149999999999999</v>
      </c>
      <c r="BT35" s="30">
        <f t="shared" si="19"/>
        <v>0</v>
      </c>
      <c r="BU35" s="26">
        <v>0.91</v>
      </c>
      <c r="BV35" s="30">
        <f t="shared" si="20"/>
        <v>0</v>
      </c>
      <c r="BW35" s="26">
        <v>0</v>
      </c>
      <c r="BX35" s="30">
        <f t="shared" si="21"/>
        <v>0</v>
      </c>
      <c r="BY35" s="26">
        <v>0</v>
      </c>
      <c r="BZ35" s="30">
        <f t="shared" si="22"/>
        <v>0</v>
      </c>
      <c r="CA35" s="26">
        <v>0</v>
      </c>
      <c r="CB35" s="30">
        <f t="shared" si="23"/>
        <v>0</v>
      </c>
      <c r="CC35" s="26">
        <v>0</v>
      </c>
      <c r="CD35" s="29">
        <f t="shared" si="24"/>
        <v>0</v>
      </c>
      <c r="CE35" s="31">
        <v>0</v>
      </c>
      <c r="CF35" s="29">
        <f t="shared" si="26"/>
        <v>0</v>
      </c>
      <c r="CG35" s="26">
        <v>0</v>
      </c>
      <c r="CH35" s="30">
        <f t="shared" si="27"/>
        <v>0</v>
      </c>
      <c r="CI35" s="26">
        <v>0</v>
      </c>
      <c r="CJ35" s="29">
        <f t="shared" si="28"/>
        <v>0</v>
      </c>
      <c r="CK35" s="26">
        <v>0</v>
      </c>
      <c r="CL35" s="29">
        <f t="shared" si="29"/>
        <v>0</v>
      </c>
      <c r="CM35" s="26">
        <v>0</v>
      </c>
      <c r="CN35" s="29">
        <f t="shared" si="30"/>
        <v>0</v>
      </c>
      <c r="CO35" s="26">
        <v>0</v>
      </c>
      <c r="CP35" s="29">
        <f t="shared" si="31"/>
        <v>0</v>
      </c>
      <c r="CQ35" s="26">
        <v>0</v>
      </c>
      <c r="CR35" s="29">
        <f t="shared" si="32"/>
        <v>0</v>
      </c>
      <c r="CS35" s="26">
        <v>0</v>
      </c>
      <c r="CT35" s="29">
        <f t="shared" si="33"/>
        <v>0</v>
      </c>
      <c r="CU35" s="26">
        <v>0</v>
      </c>
      <c r="CV35" s="29">
        <f t="shared" si="35"/>
        <v>0</v>
      </c>
      <c r="CW35" s="32">
        <v>98</v>
      </c>
      <c r="CX35" s="33">
        <f t="shared" si="36"/>
        <v>0</v>
      </c>
      <c r="DC35" s="140"/>
      <c r="DD35" s="140"/>
      <c r="DE35" s="140"/>
      <c r="DF35" s="140"/>
      <c r="DG35" s="140"/>
      <c r="DH35" s="140"/>
      <c r="DI35" s="140"/>
      <c r="DJ35" s="140"/>
      <c r="DK35" s="140"/>
      <c r="DL35" s="140"/>
      <c r="DM35" s="140"/>
      <c r="DN35" s="140"/>
      <c r="DO35" s="140"/>
      <c r="DP35" s="140"/>
      <c r="DQ35" s="140"/>
      <c r="DR35" s="140"/>
      <c r="DS35" s="140"/>
      <c r="DT35" s="140"/>
      <c r="DU35" s="140"/>
      <c r="DV35" s="140"/>
      <c r="DW35" s="140"/>
      <c r="DX35" s="140"/>
      <c r="DY35" s="140"/>
      <c r="DZ35" s="140"/>
      <c r="EA35" s="140"/>
      <c r="EB35" s="140"/>
      <c r="EC35" s="140"/>
      <c r="ED35" s="140"/>
      <c r="EE35" s="140"/>
      <c r="EF35" s="140"/>
      <c r="EG35" s="140"/>
      <c r="EH35" s="140"/>
      <c r="EI35" s="140"/>
      <c r="EJ35" s="140"/>
      <c r="EK35" s="140"/>
      <c r="EL35" s="140"/>
      <c r="EM35" s="140"/>
      <c r="EN35" s="140"/>
      <c r="EO35" s="140"/>
      <c r="EP35" s="140"/>
      <c r="EQ35" s="140"/>
      <c r="ER35" s="140"/>
      <c r="ES35" s="140"/>
      <c r="ET35" s="140"/>
      <c r="EU35" s="140"/>
      <c r="EV35" s="140"/>
      <c r="EW35" s="140"/>
      <c r="EX35" s="140"/>
    </row>
    <row r="36" spans="1:154" s="1" customFormat="1" x14ac:dyDescent="0.3">
      <c r="A36" s="34"/>
      <c r="B36" s="62">
        <v>45000</v>
      </c>
      <c r="C36" s="55">
        <f t="shared" si="0"/>
        <v>0</v>
      </c>
      <c r="D36" s="78" t="s">
        <v>36</v>
      </c>
      <c r="E36" s="79">
        <f t="shared" si="37"/>
        <v>0</v>
      </c>
      <c r="F36" s="87">
        <v>0</v>
      </c>
      <c r="G36" s="87"/>
      <c r="H36" s="100"/>
      <c r="I36" s="101"/>
      <c r="J36" s="228">
        <f t="shared" si="38"/>
        <v>0</v>
      </c>
      <c r="K36" s="226">
        <f t="shared" si="39"/>
        <v>100</v>
      </c>
      <c r="L36" s="24"/>
      <c r="M36" s="84"/>
      <c r="N36" s="66"/>
      <c r="O36" s="66"/>
      <c r="P36" s="96"/>
      <c r="Q36" s="235"/>
      <c r="R36" s="235"/>
      <c r="S36" s="66"/>
      <c r="T36" s="70"/>
      <c r="U36" s="41"/>
      <c r="V36" s="114"/>
      <c r="W36" s="104"/>
      <c r="X36" s="252"/>
      <c r="Y36" s="104"/>
      <c r="Z36" s="252"/>
      <c r="AA36" s="104"/>
      <c r="AB36" s="252"/>
      <c r="AC36" s="104"/>
      <c r="AD36" s="252"/>
      <c r="AE36" s="104"/>
      <c r="AF36" s="117"/>
      <c r="AG36" s="24"/>
      <c r="AH36" s="60" t="s">
        <v>36</v>
      </c>
      <c r="AI36" s="21">
        <v>0</v>
      </c>
      <c r="AJ36" s="6">
        <f t="shared" si="1"/>
        <v>0</v>
      </c>
      <c r="AK36" s="10">
        <v>0</v>
      </c>
      <c r="AL36" s="7">
        <f t="shared" si="2"/>
        <v>0</v>
      </c>
      <c r="AM36" s="10">
        <v>0</v>
      </c>
      <c r="AN36" s="13">
        <f t="shared" si="3"/>
        <v>0</v>
      </c>
      <c r="AO36" s="10">
        <v>0</v>
      </c>
      <c r="AP36" s="14">
        <f t="shared" si="4"/>
        <v>0</v>
      </c>
      <c r="AQ36" s="10">
        <v>0</v>
      </c>
      <c r="AR36" s="14">
        <f t="shared" si="5"/>
        <v>0</v>
      </c>
      <c r="AS36" s="10">
        <v>0</v>
      </c>
      <c r="AT36" s="14">
        <f t="shared" si="6"/>
        <v>0</v>
      </c>
      <c r="AU36" s="10">
        <v>99</v>
      </c>
      <c r="AV36" s="14">
        <f t="shared" si="7"/>
        <v>0</v>
      </c>
      <c r="AW36" s="10">
        <v>0</v>
      </c>
      <c r="AX36" s="17">
        <f t="shared" si="8"/>
        <v>0</v>
      </c>
      <c r="AY36" s="10">
        <v>0</v>
      </c>
      <c r="AZ36" s="17">
        <f t="shared" si="9"/>
        <v>0</v>
      </c>
      <c r="BA36" s="10">
        <v>0</v>
      </c>
      <c r="BB36" s="17">
        <f t="shared" si="10"/>
        <v>0</v>
      </c>
      <c r="BC36" s="10">
        <v>0</v>
      </c>
      <c r="BD36" s="17">
        <f t="shared" si="11"/>
        <v>0</v>
      </c>
      <c r="BE36" s="10">
        <v>0</v>
      </c>
      <c r="BF36" s="17">
        <f t="shared" si="12"/>
        <v>0</v>
      </c>
      <c r="BG36" s="10">
        <v>0</v>
      </c>
      <c r="BH36" s="17">
        <f t="shared" si="13"/>
        <v>0</v>
      </c>
      <c r="BI36" s="10">
        <v>0</v>
      </c>
      <c r="BJ36" s="17">
        <f t="shared" si="14"/>
        <v>0</v>
      </c>
      <c r="BK36" s="10">
        <v>0</v>
      </c>
      <c r="BL36" s="17">
        <f t="shared" si="15"/>
        <v>0</v>
      </c>
      <c r="BM36" s="10">
        <v>0</v>
      </c>
      <c r="BN36" s="17">
        <f t="shared" si="16"/>
        <v>0</v>
      </c>
      <c r="BO36" s="10">
        <v>17.5</v>
      </c>
      <c r="BP36" s="17">
        <f t="shared" si="17"/>
        <v>0</v>
      </c>
      <c r="BQ36" s="10">
        <v>22.5</v>
      </c>
      <c r="BR36" s="17">
        <f t="shared" si="18"/>
        <v>0</v>
      </c>
      <c r="BS36" s="10">
        <f>BQ36*0.95</f>
        <v>21.375</v>
      </c>
      <c r="BT36" s="17">
        <f t="shared" si="19"/>
        <v>0</v>
      </c>
      <c r="BU36" s="12">
        <v>0</v>
      </c>
      <c r="BV36" s="18">
        <f t="shared" si="20"/>
        <v>0</v>
      </c>
      <c r="BW36" s="10">
        <v>0</v>
      </c>
      <c r="BX36" s="17">
        <f t="shared" si="21"/>
        <v>0</v>
      </c>
      <c r="BY36" s="10">
        <v>0</v>
      </c>
      <c r="BZ36" s="17">
        <f t="shared" si="22"/>
        <v>0</v>
      </c>
      <c r="CA36" s="10">
        <v>0</v>
      </c>
      <c r="CB36" s="17">
        <f t="shared" si="23"/>
        <v>0</v>
      </c>
      <c r="CC36" s="10">
        <v>0</v>
      </c>
      <c r="CD36" s="14">
        <f t="shared" si="24"/>
        <v>0</v>
      </c>
      <c r="CE36" s="21">
        <v>0</v>
      </c>
      <c r="CF36" s="14">
        <f t="shared" si="26"/>
        <v>0</v>
      </c>
      <c r="CG36" s="10">
        <v>0</v>
      </c>
      <c r="CH36" s="17">
        <f t="shared" si="27"/>
        <v>0</v>
      </c>
      <c r="CI36" s="10">
        <v>0</v>
      </c>
      <c r="CJ36" s="14">
        <f t="shared" si="28"/>
        <v>0</v>
      </c>
      <c r="CK36" s="10">
        <v>0</v>
      </c>
      <c r="CL36" s="14">
        <f t="shared" si="29"/>
        <v>0</v>
      </c>
      <c r="CM36" s="10">
        <v>0</v>
      </c>
      <c r="CN36" s="14">
        <f t="shared" si="30"/>
        <v>0</v>
      </c>
      <c r="CO36" s="10">
        <v>0</v>
      </c>
      <c r="CP36" s="14">
        <f t="shared" si="31"/>
        <v>0</v>
      </c>
      <c r="CQ36" s="10">
        <v>0</v>
      </c>
      <c r="CR36" s="14">
        <f t="shared" si="32"/>
        <v>0</v>
      </c>
      <c r="CS36" s="10">
        <v>0</v>
      </c>
      <c r="CT36" s="14">
        <f t="shared" si="33"/>
        <v>0</v>
      </c>
      <c r="CU36" s="10">
        <v>0</v>
      </c>
      <c r="CV36" s="14">
        <f t="shared" si="35"/>
        <v>0</v>
      </c>
      <c r="CW36" s="11">
        <v>98</v>
      </c>
      <c r="CX36" s="20">
        <f t="shared" si="36"/>
        <v>0</v>
      </c>
      <c r="CY36" s="34"/>
      <c r="CZ36" s="34"/>
      <c r="DA36" s="34"/>
      <c r="DB36" s="34"/>
      <c r="DC36" s="140"/>
      <c r="DD36" s="140"/>
      <c r="DE36" s="140"/>
      <c r="DF36" s="140"/>
      <c r="DG36" s="140"/>
      <c r="DH36" s="140"/>
      <c r="DI36" s="140"/>
      <c r="DJ36" s="140"/>
      <c r="DK36" s="140"/>
      <c r="DL36" s="140"/>
      <c r="DM36" s="140"/>
      <c r="DN36" s="140"/>
      <c r="DO36" s="140"/>
      <c r="DP36" s="140"/>
      <c r="DQ36" s="140"/>
      <c r="DR36" s="140"/>
      <c r="DS36" s="140"/>
      <c r="DT36" s="140"/>
      <c r="DU36" s="140"/>
      <c r="DV36" s="140"/>
      <c r="DW36" s="140"/>
      <c r="DX36" s="140"/>
      <c r="DY36" s="140"/>
      <c r="DZ36" s="140"/>
      <c r="EA36" s="140"/>
      <c r="EB36" s="140"/>
      <c r="EC36" s="140"/>
      <c r="ED36" s="140"/>
      <c r="EE36" s="140"/>
      <c r="EF36" s="140"/>
      <c r="EG36" s="140"/>
      <c r="EH36" s="140"/>
      <c r="EI36" s="140"/>
      <c r="EJ36" s="140"/>
      <c r="EK36" s="140"/>
      <c r="EL36" s="140"/>
      <c r="EM36" s="140"/>
      <c r="EN36" s="140"/>
      <c r="EO36" s="140"/>
      <c r="EP36" s="140"/>
      <c r="EQ36" s="140"/>
      <c r="ER36" s="140"/>
      <c r="ES36" s="140"/>
      <c r="ET36" s="140"/>
      <c r="EU36" s="140"/>
      <c r="EV36" s="140"/>
      <c r="EW36" s="140"/>
      <c r="EX36" s="140"/>
    </row>
    <row r="37" spans="1:154" s="34" customFormat="1" x14ac:dyDescent="0.3">
      <c r="B37" s="61">
        <v>1000</v>
      </c>
      <c r="C37" s="56">
        <f t="shared" si="0"/>
        <v>0</v>
      </c>
      <c r="D37" s="76" t="s">
        <v>130</v>
      </c>
      <c r="E37" s="77">
        <f t="shared" si="37"/>
        <v>0</v>
      </c>
      <c r="F37" s="86">
        <v>0</v>
      </c>
      <c r="G37" s="86"/>
      <c r="H37" s="98"/>
      <c r="I37" s="99"/>
      <c r="J37" s="228">
        <f t="shared" si="38"/>
        <v>0</v>
      </c>
      <c r="K37" s="226">
        <f t="shared" si="39"/>
        <v>100</v>
      </c>
      <c r="L37" s="24"/>
      <c r="M37" s="83"/>
      <c r="N37" s="65"/>
      <c r="O37" s="65"/>
      <c r="P37" s="95"/>
      <c r="Q37" s="233"/>
      <c r="R37" s="233"/>
      <c r="S37" s="65"/>
      <c r="T37" s="71"/>
      <c r="U37" s="41"/>
      <c r="V37" s="114"/>
      <c r="W37" s="105"/>
      <c r="X37" s="252"/>
      <c r="Y37" s="105"/>
      <c r="Z37" s="252"/>
      <c r="AA37" s="105"/>
      <c r="AB37" s="252"/>
      <c r="AC37" s="105"/>
      <c r="AD37" s="252"/>
      <c r="AE37" s="105"/>
      <c r="AF37" s="117"/>
      <c r="AG37" s="24"/>
      <c r="AH37" s="59" t="s">
        <v>130</v>
      </c>
      <c r="AI37" s="31">
        <v>0</v>
      </c>
      <c r="AJ37" s="25"/>
      <c r="AK37" s="26">
        <v>0</v>
      </c>
      <c r="AL37" s="27"/>
      <c r="AM37" s="26">
        <v>0</v>
      </c>
      <c r="AN37" s="28">
        <f t="shared" si="3"/>
        <v>0</v>
      </c>
      <c r="AO37" s="26">
        <v>0</v>
      </c>
      <c r="AP37" s="29">
        <f t="shared" si="4"/>
        <v>0</v>
      </c>
      <c r="AQ37" s="26">
        <v>0</v>
      </c>
      <c r="AR37" s="29">
        <f t="shared" si="5"/>
        <v>0</v>
      </c>
      <c r="AS37" s="26">
        <v>0</v>
      </c>
      <c r="AT37" s="29">
        <f t="shared" si="6"/>
        <v>0</v>
      </c>
      <c r="AU37" s="26">
        <v>99</v>
      </c>
      <c r="AV37" s="29">
        <f t="shared" si="7"/>
        <v>0</v>
      </c>
      <c r="AW37" s="26">
        <v>0</v>
      </c>
      <c r="AX37" s="30">
        <f t="shared" si="8"/>
        <v>0</v>
      </c>
      <c r="AY37" s="26">
        <v>0</v>
      </c>
      <c r="AZ37" s="30">
        <f t="shared" si="9"/>
        <v>0</v>
      </c>
      <c r="BA37" s="26">
        <v>0</v>
      </c>
      <c r="BB37" s="30">
        <f t="shared" si="10"/>
        <v>0</v>
      </c>
      <c r="BC37" s="26">
        <v>0</v>
      </c>
      <c r="BD37" s="30">
        <f t="shared" si="11"/>
        <v>0</v>
      </c>
      <c r="BE37" s="26">
        <v>0</v>
      </c>
      <c r="BF37" s="30">
        <f t="shared" si="12"/>
        <v>0</v>
      </c>
      <c r="BG37" s="26">
        <v>0</v>
      </c>
      <c r="BH37" s="30">
        <f t="shared" si="13"/>
        <v>0</v>
      </c>
      <c r="BI37" s="26">
        <v>0</v>
      </c>
      <c r="BJ37" s="30">
        <f t="shared" si="14"/>
        <v>0</v>
      </c>
      <c r="BK37" s="26">
        <v>0</v>
      </c>
      <c r="BL37" s="30">
        <f t="shared" si="15"/>
        <v>0</v>
      </c>
      <c r="BM37" s="26">
        <v>0</v>
      </c>
      <c r="BN37" s="30">
        <f t="shared" si="16"/>
        <v>0</v>
      </c>
      <c r="BO37" s="26">
        <v>37</v>
      </c>
      <c r="BP37" s="30">
        <f t="shared" si="17"/>
        <v>0</v>
      </c>
      <c r="BQ37" s="26">
        <v>0</v>
      </c>
      <c r="BR37" s="30">
        <f t="shared" si="18"/>
        <v>0</v>
      </c>
      <c r="BS37" s="26">
        <v>0</v>
      </c>
      <c r="BT37" s="30"/>
      <c r="BU37" s="26">
        <v>0</v>
      </c>
      <c r="BV37" s="30">
        <f t="shared" si="20"/>
        <v>0</v>
      </c>
      <c r="BW37" s="26">
        <v>0</v>
      </c>
      <c r="BX37" s="30">
        <f t="shared" si="21"/>
        <v>0</v>
      </c>
      <c r="BY37" s="26">
        <v>0</v>
      </c>
      <c r="BZ37" s="30">
        <f t="shared" si="22"/>
        <v>0</v>
      </c>
      <c r="CA37" s="26">
        <v>0</v>
      </c>
      <c r="CB37" s="30">
        <f t="shared" si="23"/>
        <v>0</v>
      </c>
      <c r="CC37" s="26">
        <v>0</v>
      </c>
      <c r="CD37" s="29">
        <f t="shared" si="24"/>
        <v>0</v>
      </c>
      <c r="CE37" s="31">
        <v>0</v>
      </c>
      <c r="CF37" s="29">
        <f t="shared" si="26"/>
        <v>0</v>
      </c>
      <c r="CG37" s="26">
        <v>0</v>
      </c>
      <c r="CH37" s="30">
        <f t="shared" si="27"/>
        <v>0</v>
      </c>
      <c r="CI37" s="26">
        <v>0</v>
      </c>
      <c r="CJ37" s="29">
        <f t="shared" si="28"/>
        <v>0</v>
      </c>
      <c r="CK37" s="26">
        <v>0</v>
      </c>
      <c r="CL37" s="29">
        <f t="shared" si="29"/>
        <v>0</v>
      </c>
      <c r="CM37" s="26">
        <v>0</v>
      </c>
      <c r="CN37" s="29">
        <f t="shared" si="30"/>
        <v>0</v>
      </c>
      <c r="CO37" s="26">
        <v>0</v>
      </c>
      <c r="CP37" s="29">
        <f t="shared" si="31"/>
        <v>0</v>
      </c>
      <c r="CQ37" s="26">
        <v>0</v>
      </c>
      <c r="CR37" s="29">
        <f t="shared" si="32"/>
        <v>0</v>
      </c>
      <c r="CS37" s="26">
        <v>0</v>
      </c>
      <c r="CT37" s="29">
        <f t="shared" si="33"/>
        <v>0</v>
      </c>
      <c r="CU37" s="38">
        <v>0</v>
      </c>
      <c r="CV37" s="29">
        <f t="shared" si="35"/>
        <v>0</v>
      </c>
      <c r="CW37" s="32">
        <v>98</v>
      </c>
      <c r="CX37" s="33">
        <f t="shared" si="36"/>
        <v>0</v>
      </c>
      <c r="DC37" s="140"/>
      <c r="DD37" s="140"/>
      <c r="DE37" s="140"/>
      <c r="DF37" s="140"/>
      <c r="DG37" s="140"/>
      <c r="DH37" s="140"/>
      <c r="DI37" s="140"/>
      <c r="DJ37" s="140"/>
      <c r="DK37" s="140"/>
      <c r="DL37" s="140"/>
      <c r="DM37" s="140"/>
      <c r="DN37" s="140"/>
      <c r="DO37" s="140"/>
      <c r="DP37" s="140"/>
      <c r="DQ37" s="140"/>
      <c r="DR37" s="140"/>
      <c r="DS37" s="140"/>
      <c r="DT37" s="140"/>
      <c r="DU37" s="140"/>
      <c r="DV37" s="140"/>
      <c r="DW37" s="140"/>
      <c r="DX37" s="140"/>
      <c r="DY37" s="140"/>
      <c r="DZ37" s="140"/>
      <c r="EA37" s="140"/>
      <c r="EB37" s="140"/>
      <c r="EC37" s="140"/>
      <c r="ED37" s="140"/>
      <c r="EE37" s="140"/>
      <c r="EF37" s="140"/>
      <c r="EG37" s="140"/>
      <c r="EH37" s="140"/>
      <c r="EI37" s="140"/>
      <c r="EJ37" s="140"/>
      <c r="EK37" s="140"/>
      <c r="EL37" s="140"/>
      <c r="EM37" s="140"/>
      <c r="EN37" s="140"/>
      <c r="EO37" s="140"/>
      <c r="EP37" s="140"/>
      <c r="EQ37" s="140"/>
      <c r="ER37" s="140"/>
      <c r="ES37" s="140"/>
      <c r="ET37" s="140"/>
      <c r="EU37" s="140"/>
      <c r="EV37" s="140"/>
      <c r="EW37" s="140"/>
      <c r="EX37" s="140"/>
    </row>
    <row r="38" spans="1:154" s="34" customFormat="1" x14ac:dyDescent="0.3">
      <c r="B38" s="62">
        <v>1000</v>
      </c>
      <c r="C38" s="55">
        <f t="shared" si="0"/>
        <v>0</v>
      </c>
      <c r="D38" s="78" t="s">
        <v>37</v>
      </c>
      <c r="E38" s="79">
        <f t="shared" si="37"/>
        <v>0</v>
      </c>
      <c r="F38" s="87">
        <v>0</v>
      </c>
      <c r="G38" s="87"/>
      <c r="H38" s="100"/>
      <c r="I38" s="101"/>
      <c r="J38" s="228">
        <f t="shared" si="38"/>
        <v>0</v>
      </c>
      <c r="K38" s="226">
        <f t="shared" si="39"/>
        <v>100</v>
      </c>
      <c r="L38" s="24"/>
      <c r="M38" s="84"/>
      <c r="N38" s="66"/>
      <c r="O38" s="66"/>
      <c r="P38" s="96"/>
      <c r="Q38" s="235"/>
      <c r="R38" s="235"/>
      <c r="S38" s="66"/>
      <c r="T38" s="70"/>
      <c r="U38" s="41"/>
      <c r="V38" s="114"/>
      <c r="W38" s="104"/>
      <c r="X38" s="252"/>
      <c r="Y38" s="104"/>
      <c r="Z38" s="252"/>
      <c r="AA38" s="104"/>
      <c r="AB38" s="252"/>
      <c r="AC38" s="104"/>
      <c r="AD38" s="252"/>
      <c r="AE38" s="104"/>
      <c r="AF38" s="117"/>
      <c r="AG38" s="24"/>
      <c r="AH38" s="60" t="s">
        <v>37</v>
      </c>
      <c r="AI38" s="21">
        <v>0</v>
      </c>
      <c r="AJ38" s="6">
        <f>F38*AI38%</f>
        <v>0</v>
      </c>
      <c r="AK38" s="10">
        <v>0</v>
      </c>
      <c r="AL38" s="7">
        <f>F38*AK38%</f>
        <v>0</v>
      </c>
      <c r="AM38" s="10">
        <v>0</v>
      </c>
      <c r="AN38" s="13">
        <f t="shared" si="3"/>
        <v>0</v>
      </c>
      <c r="AO38" s="10">
        <v>0</v>
      </c>
      <c r="AP38" s="14">
        <f t="shared" si="4"/>
        <v>0</v>
      </c>
      <c r="AQ38" s="10">
        <v>0</v>
      </c>
      <c r="AR38" s="14">
        <f t="shared" si="5"/>
        <v>0</v>
      </c>
      <c r="AS38" s="10">
        <v>0</v>
      </c>
      <c r="AT38" s="14">
        <f t="shared" si="6"/>
        <v>0</v>
      </c>
      <c r="AU38" s="10">
        <v>99</v>
      </c>
      <c r="AV38" s="14">
        <f t="shared" si="7"/>
        <v>0</v>
      </c>
      <c r="AW38" s="10">
        <v>0</v>
      </c>
      <c r="AX38" s="17">
        <f t="shared" si="8"/>
        <v>0</v>
      </c>
      <c r="AY38" s="10">
        <v>0</v>
      </c>
      <c r="AZ38" s="17">
        <f t="shared" si="9"/>
        <v>0</v>
      </c>
      <c r="BA38" s="10">
        <v>0</v>
      </c>
      <c r="BB38" s="17">
        <f t="shared" si="10"/>
        <v>0</v>
      </c>
      <c r="BC38" s="10">
        <v>0</v>
      </c>
      <c r="BD38" s="17">
        <f t="shared" si="11"/>
        <v>0</v>
      </c>
      <c r="BE38" s="10">
        <v>0</v>
      </c>
      <c r="BF38" s="17">
        <f t="shared" si="12"/>
        <v>0</v>
      </c>
      <c r="BG38" s="10">
        <v>0</v>
      </c>
      <c r="BH38" s="17">
        <f t="shared" si="13"/>
        <v>0</v>
      </c>
      <c r="BI38" s="10">
        <v>0</v>
      </c>
      <c r="BJ38" s="17">
        <f t="shared" si="14"/>
        <v>0</v>
      </c>
      <c r="BK38" s="10">
        <v>0</v>
      </c>
      <c r="BL38" s="17">
        <f t="shared" si="15"/>
        <v>0</v>
      </c>
      <c r="BM38" s="10">
        <v>0</v>
      </c>
      <c r="BN38" s="17">
        <f t="shared" si="16"/>
        <v>0</v>
      </c>
      <c r="BO38" s="10">
        <v>0</v>
      </c>
      <c r="BP38" s="17">
        <f t="shared" si="17"/>
        <v>0</v>
      </c>
      <c r="BQ38" s="10">
        <v>0</v>
      </c>
      <c r="BR38" s="17">
        <f t="shared" si="18"/>
        <v>0</v>
      </c>
      <c r="BS38" s="10">
        <v>0</v>
      </c>
      <c r="BT38" s="17">
        <f>F38*BS38%</f>
        <v>0</v>
      </c>
      <c r="BU38" s="12">
        <v>0</v>
      </c>
      <c r="BV38" s="18">
        <f t="shared" si="20"/>
        <v>0</v>
      </c>
      <c r="BW38" s="10">
        <v>39</v>
      </c>
      <c r="BX38" s="17">
        <f t="shared" si="21"/>
        <v>0</v>
      </c>
      <c r="BY38" s="10">
        <v>0</v>
      </c>
      <c r="BZ38" s="17">
        <f t="shared" si="22"/>
        <v>0</v>
      </c>
      <c r="CA38" s="10">
        <v>60</v>
      </c>
      <c r="CB38" s="17">
        <f t="shared" si="23"/>
        <v>0</v>
      </c>
      <c r="CC38" s="10">
        <v>0</v>
      </c>
      <c r="CD38" s="14">
        <f t="shared" si="24"/>
        <v>0</v>
      </c>
      <c r="CE38" s="21">
        <f>(BW38*435)+(BY38*256)-(CA38*282)</f>
        <v>45</v>
      </c>
      <c r="CF38" s="14">
        <f t="shared" si="26"/>
        <v>0</v>
      </c>
      <c r="CG38" s="10">
        <v>0</v>
      </c>
      <c r="CH38" s="17">
        <f t="shared" si="27"/>
        <v>0</v>
      </c>
      <c r="CI38" s="10">
        <v>0</v>
      </c>
      <c r="CJ38" s="14">
        <f t="shared" si="28"/>
        <v>0</v>
      </c>
      <c r="CK38" s="10">
        <v>0</v>
      </c>
      <c r="CL38" s="14">
        <f t="shared" si="29"/>
        <v>0</v>
      </c>
      <c r="CM38" s="10">
        <v>0</v>
      </c>
      <c r="CN38" s="14">
        <f t="shared" si="30"/>
        <v>0</v>
      </c>
      <c r="CO38" s="10">
        <v>0</v>
      </c>
      <c r="CP38" s="14">
        <f t="shared" si="31"/>
        <v>0</v>
      </c>
      <c r="CQ38" s="10">
        <v>0</v>
      </c>
      <c r="CR38" s="14">
        <f t="shared" si="32"/>
        <v>0</v>
      </c>
      <c r="CS38" s="10">
        <v>0</v>
      </c>
      <c r="CT38" s="14">
        <f t="shared" si="33"/>
        <v>0</v>
      </c>
      <c r="CU38" s="10">
        <v>0</v>
      </c>
      <c r="CV38" s="14">
        <f t="shared" si="35"/>
        <v>0</v>
      </c>
      <c r="CW38" s="11">
        <v>98</v>
      </c>
      <c r="CX38" s="20">
        <f t="shared" si="36"/>
        <v>0</v>
      </c>
      <c r="DC38" s="140"/>
      <c r="DD38" s="140"/>
      <c r="DE38" s="140"/>
      <c r="DF38" s="140"/>
      <c r="DG38" s="140"/>
      <c r="DH38" s="140"/>
      <c r="DI38" s="140"/>
      <c r="DJ38" s="140"/>
      <c r="DK38" s="140"/>
      <c r="DL38" s="140"/>
      <c r="DM38" s="140"/>
      <c r="DN38" s="140"/>
      <c r="DO38" s="140"/>
      <c r="DP38" s="140"/>
      <c r="DQ38" s="140"/>
      <c r="DR38" s="140"/>
      <c r="DS38" s="140"/>
      <c r="DT38" s="140"/>
      <c r="DU38" s="140"/>
      <c r="DV38" s="140"/>
      <c r="DW38" s="140"/>
      <c r="DX38" s="140"/>
      <c r="DY38" s="140"/>
      <c r="DZ38" s="140"/>
      <c r="EA38" s="140"/>
      <c r="EB38" s="140"/>
      <c r="EC38" s="140"/>
      <c r="ED38" s="140"/>
      <c r="EE38" s="140"/>
      <c r="EF38" s="140"/>
      <c r="EG38" s="140"/>
      <c r="EH38" s="140"/>
      <c r="EI38" s="140"/>
      <c r="EJ38" s="140"/>
      <c r="EK38" s="140"/>
      <c r="EL38" s="140"/>
      <c r="EM38" s="140"/>
      <c r="EN38" s="140"/>
      <c r="EO38" s="140"/>
      <c r="EP38" s="140"/>
      <c r="EQ38" s="140"/>
      <c r="ER38" s="140"/>
      <c r="ES38" s="140"/>
      <c r="ET38" s="140"/>
      <c r="EU38" s="140"/>
      <c r="EV38" s="140"/>
      <c r="EW38" s="140"/>
      <c r="EX38" s="140"/>
    </row>
    <row r="39" spans="1:154" x14ac:dyDescent="0.3">
      <c r="A39" s="40"/>
      <c r="B39" s="61">
        <v>90000</v>
      </c>
      <c r="C39" s="56">
        <f t="shared" si="0"/>
        <v>900</v>
      </c>
      <c r="D39" s="76" t="s">
        <v>38</v>
      </c>
      <c r="E39" s="77">
        <f t="shared" si="37"/>
        <v>10</v>
      </c>
      <c r="F39" s="86">
        <v>1</v>
      </c>
      <c r="G39" s="86"/>
      <c r="H39" s="98">
        <v>1</v>
      </c>
      <c r="I39" s="99"/>
      <c r="J39" s="228">
        <f t="shared" si="38"/>
        <v>1</v>
      </c>
      <c r="K39" s="226">
        <f t="shared" si="39"/>
        <v>100</v>
      </c>
      <c r="L39" s="40"/>
      <c r="M39" s="83"/>
      <c r="N39" s="65"/>
      <c r="O39" s="65"/>
      <c r="P39" s="95"/>
      <c r="Q39" s="233"/>
      <c r="R39" s="233"/>
      <c r="S39" s="65"/>
      <c r="T39" s="71"/>
      <c r="U39" s="41"/>
      <c r="V39" s="114"/>
      <c r="W39" s="105"/>
      <c r="X39" s="252"/>
      <c r="Y39" s="105"/>
      <c r="Z39" s="252"/>
      <c r="AA39" s="105"/>
      <c r="AB39" s="252"/>
      <c r="AC39" s="105"/>
      <c r="AD39" s="252"/>
      <c r="AE39" s="105"/>
      <c r="AF39" s="117"/>
      <c r="AG39" s="40"/>
      <c r="AH39" s="59" t="s">
        <v>38</v>
      </c>
      <c r="AI39" s="31">
        <v>1900</v>
      </c>
      <c r="AJ39" s="25">
        <f>F39*AI39%</f>
        <v>19</v>
      </c>
      <c r="AK39" s="26">
        <v>21</v>
      </c>
      <c r="AL39" s="27">
        <f>F39*AK39%</f>
        <v>0.21</v>
      </c>
      <c r="AM39" s="26">
        <v>0</v>
      </c>
      <c r="AN39" s="28">
        <f t="shared" si="3"/>
        <v>0</v>
      </c>
      <c r="AO39" s="26">
        <v>0</v>
      </c>
      <c r="AP39" s="29">
        <f t="shared" si="4"/>
        <v>0</v>
      </c>
      <c r="AQ39" s="26">
        <v>0</v>
      </c>
      <c r="AR39" s="29">
        <f t="shared" si="5"/>
        <v>0</v>
      </c>
      <c r="AS39" s="26">
        <v>4</v>
      </c>
      <c r="AT39" s="29">
        <f t="shared" si="6"/>
        <v>0.04</v>
      </c>
      <c r="AU39" s="26">
        <v>35</v>
      </c>
      <c r="AV39" s="29">
        <f t="shared" si="7"/>
        <v>0.35</v>
      </c>
      <c r="AW39" s="26">
        <v>2</v>
      </c>
      <c r="AX39" s="30">
        <f t="shared" si="8"/>
        <v>0.02</v>
      </c>
      <c r="AY39" s="26">
        <v>0</v>
      </c>
      <c r="AZ39" s="30">
        <f t="shared" si="9"/>
        <v>0</v>
      </c>
      <c r="BA39" s="26">
        <v>4.5</v>
      </c>
      <c r="BB39" s="30">
        <f t="shared" si="10"/>
        <v>4.4999999999999998E-2</v>
      </c>
      <c r="BC39" s="26">
        <v>0</v>
      </c>
      <c r="BD39" s="30">
        <f t="shared" si="11"/>
        <v>0</v>
      </c>
      <c r="BE39" s="26">
        <v>0</v>
      </c>
      <c r="BF39" s="30">
        <f t="shared" si="12"/>
        <v>0</v>
      </c>
      <c r="BG39" s="26">
        <v>0</v>
      </c>
      <c r="BH39" s="30">
        <f t="shared" si="13"/>
        <v>0</v>
      </c>
      <c r="BI39" s="26">
        <v>0</v>
      </c>
      <c r="BJ39" s="30">
        <f t="shared" si="14"/>
        <v>0</v>
      </c>
      <c r="BK39" s="26">
        <v>0</v>
      </c>
      <c r="BL39" s="30">
        <f t="shared" si="15"/>
        <v>0</v>
      </c>
      <c r="BM39" s="26">
        <v>0</v>
      </c>
      <c r="BN39" s="30">
        <f t="shared" si="16"/>
        <v>0</v>
      </c>
      <c r="BO39" s="26">
        <v>6</v>
      </c>
      <c r="BP39" s="30">
        <f t="shared" si="17"/>
        <v>0.06</v>
      </c>
      <c r="BQ39" s="26">
        <v>3.5</v>
      </c>
      <c r="BR39" s="30">
        <f t="shared" si="18"/>
        <v>3.5000000000000003E-2</v>
      </c>
      <c r="BS39" s="26">
        <v>0</v>
      </c>
      <c r="BT39" s="30">
        <f>F39*BS39%</f>
        <v>0</v>
      </c>
      <c r="BU39" s="26">
        <v>0</v>
      </c>
      <c r="BV39" s="30">
        <f t="shared" si="20"/>
        <v>0</v>
      </c>
      <c r="BW39" s="26">
        <v>1</v>
      </c>
      <c r="BX39" s="30">
        <f t="shared" si="21"/>
        <v>0.01</v>
      </c>
      <c r="BY39" s="26">
        <v>0</v>
      </c>
      <c r="BZ39" s="30">
        <f t="shared" si="22"/>
        <v>0</v>
      </c>
      <c r="CA39" s="26">
        <v>2</v>
      </c>
      <c r="CB39" s="30">
        <f t="shared" si="23"/>
        <v>0.02</v>
      </c>
      <c r="CC39" s="26">
        <v>2.5</v>
      </c>
      <c r="CD39" s="29">
        <f t="shared" si="24"/>
        <v>2.5000000000000001E-2</v>
      </c>
      <c r="CE39" s="31">
        <v>0</v>
      </c>
      <c r="CF39" s="29">
        <f t="shared" si="26"/>
        <v>0</v>
      </c>
      <c r="CG39" s="26">
        <v>0</v>
      </c>
      <c r="CH39" s="30">
        <f t="shared" si="27"/>
        <v>0</v>
      </c>
      <c r="CI39" s="26">
        <v>0</v>
      </c>
      <c r="CJ39" s="29">
        <f t="shared" si="28"/>
        <v>0</v>
      </c>
      <c r="CK39" s="26">
        <v>0</v>
      </c>
      <c r="CL39" s="29">
        <f t="shared" si="29"/>
        <v>0</v>
      </c>
      <c r="CM39" s="26">
        <v>0</v>
      </c>
      <c r="CN39" s="29">
        <f t="shared" si="30"/>
        <v>0</v>
      </c>
      <c r="CO39" s="26">
        <v>0</v>
      </c>
      <c r="CP39" s="29">
        <f t="shared" si="31"/>
        <v>0</v>
      </c>
      <c r="CQ39" s="26">
        <v>0</v>
      </c>
      <c r="CR39" s="29">
        <f t="shared" si="32"/>
        <v>0</v>
      </c>
      <c r="CS39" s="26">
        <v>0</v>
      </c>
      <c r="CT39" s="29">
        <f t="shared" si="33"/>
        <v>0</v>
      </c>
      <c r="CU39" s="26">
        <v>0</v>
      </c>
      <c r="CV39" s="29">
        <f t="shared" si="35"/>
        <v>0</v>
      </c>
      <c r="CW39" s="32">
        <v>96</v>
      </c>
      <c r="CX39" s="33">
        <f t="shared" si="36"/>
        <v>0.96</v>
      </c>
      <c r="CY39" s="34"/>
      <c r="CZ39" s="40"/>
      <c r="DA39" s="40"/>
      <c r="DB39" s="40"/>
    </row>
    <row r="40" spans="1:154" s="34" customFormat="1" x14ac:dyDescent="0.3">
      <c r="B40" s="62">
        <v>1000</v>
      </c>
      <c r="C40" s="55">
        <f t="shared" si="0"/>
        <v>0</v>
      </c>
      <c r="D40" s="78" t="s">
        <v>86</v>
      </c>
      <c r="E40" s="79">
        <f t="shared" si="37"/>
        <v>0</v>
      </c>
      <c r="F40" s="87">
        <v>0</v>
      </c>
      <c r="G40" s="87"/>
      <c r="H40" s="100"/>
      <c r="I40" s="101"/>
      <c r="J40" s="228">
        <f t="shared" si="38"/>
        <v>0</v>
      </c>
      <c r="K40" s="226">
        <f t="shared" si="39"/>
        <v>100</v>
      </c>
      <c r="L40" s="24"/>
      <c r="M40" s="84"/>
      <c r="N40" s="66"/>
      <c r="O40" s="66"/>
      <c r="P40" s="96"/>
      <c r="Q40" s="235"/>
      <c r="R40" s="235"/>
      <c r="S40" s="66"/>
      <c r="T40" s="70"/>
      <c r="U40" s="41"/>
      <c r="V40" s="114"/>
      <c r="W40" s="104"/>
      <c r="X40" s="252"/>
      <c r="Y40" s="104"/>
      <c r="Z40" s="252"/>
      <c r="AA40" s="104"/>
      <c r="AB40" s="252"/>
      <c r="AC40" s="104"/>
      <c r="AD40" s="252"/>
      <c r="AE40" s="104"/>
      <c r="AF40" s="117"/>
      <c r="AG40" s="24"/>
      <c r="AH40" s="60" t="s">
        <v>86</v>
      </c>
      <c r="AI40" s="21">
        <v>0</v>
      </c>
      <c r="AJ40" s="6">
        <f>F40*AI40%</f>
        <v>0</v>
      </c>
      <c r="AK40" s="10">
        <v>0</v>
      </c>
      <c r="AL40" s="7">
        <f>F40*AK40%</f>
        <v>0</v>
      </c>
      <c r="AM40" s="10">
        <v>0</v>
      </c>
      <c r="AN40" s="13">
        <f t="shared" si="3"/>
        <v>0</v>
      </c>
      <c r="AO40" s="10">
        <v>0</v>
      </c>
      <c r="AP40" s="14">
        <f t="shared" si="4"/>
        <v>0</v>
      </c>
      <c r="AQ40" s="10">
        <v>0</v>
      </c>
      <c r="AR40" s="14">
        <f t="shared" si="5"/>
        <v>0</v>
      </c>
      <c r="AS40" s="10">
        <v>0</v>
      </c>
      <c r="AT40" s="14">
        <f t="shared" si="6"/>
        <v>0</v>
      </c>
      <c r="AU40" s="10">
        <v>0</v>
      </c>
      <c r="AV40" s="14">
        <f t="shared" si="7"/>
        <v>0</v>
      </c>
      <c r="AW40" s="10">
        <v>0</v>
      </c>
      <c r="AX40" s="17">
        <f t="shared" si="8"/>
        <v>0</v>
      </c>
      <c r="AY40" s="10">
        <v>0</v>
      </c>
      <c r="AZ40" s="17">
        <f t="shared" si="9"/>
        <v>0</v>
      </c>
      <c r="BA40" s="10">
        <v>0</v>
      </c>
      <c r="BB40" s="17">
        <f t="shared" si="10"/>
        <v>0</v>
      </c>
      <c r="BC40" s="10">
        <v>0</v>
      </c>
      <c r="BD40" s="17">
        <f t="shared" si="11"/>
        <v>0</v>
      </c>
      <c r="BE40" s="10">
        <v>0</v>
      </c>
      <c r="BF40" s="17">
        <f t="shared" si="12"/>
        <v>0</v>
      </c>
      <c r="BG40" s="10">
        <v>0</v>
      </c>
      <c r="BH40" s="17">
        <f t="shared" si="13"/>
        <v>0</v>
      </c>
      <c r="BI40" s="10">
        <v>0</v>
      </c>
      <c r="BJ40" s="17">
        <f t="shared" si="14"/>
        <v>0</v>
      </c>
      <c r="BK40" s="10">
        <v>0</v>
      </c>
      <c r="BL40" s="17">
        <f t="shared" si="15"/>
        <v>0</v>
      </c>
      <c r="BM40" s="10">
        <v>0</v>
      </c>
      <c r="BN40" s="17">
        <f t="shared" si="16"/>
        <v>0</v>
      </c>
      <c r="BO40" s="10">
        <v>0</v>
      </c>
      <c r="BP40" s="17">
        <f t="shared" si="17"/>
        <v>0</v>
      </c>
      <c r="BQ40" s="10">
        <v>0</v>
      </c>
      <c r="BR40" s="17">
        <f t="shared" si="18"/>
        <v>0</v>
      </c>
      <c r="BS40" s="10">
        <v>0</v>
      </c>
      <c r="BT40" s="17">
        <f>F40*BS40%</f>
        <v>0</v>
      </c>
      <c r="BU40" s="12">
        <v>0</v>
      </c>
      <c r="BV40" s="18">
        <f t="shared" si="20"/>
        <v>0</v>
      </c>
      <c r="BW40" s="10">
        <v>0</v>
      </c>
      <c r="BX40" s="17">
        <f t="shared" si="21"/>
        <v>0</v>
      </c>
      <c r="BY40" s="10">
        <v>0</v>
      </c>
      <c r="BZ40" s="17">
        <f t="shared" si="22"/>
        <v>0</v>
      </c>
      <c r="CA40" s="10">
        <v>0</v>
      </c>
      <c r="CB40" s="17">
        <f t="shared" si="23"/>
        <v>0</v>
      </c>
      <c r="CC40" s="10">
        <v>0</v>
      </c>
      <c r="CD40" s="14">
        <f t="shared" si="24"/>
        <v>0</v>
      </c>
      <c r="CE40" s="21">
        <v>0</v>
      </c>
      <c r="CF40" s="14">
        <f t="shared" si="26"/>
        <v>0</v>
      </c>
      <c r="CG40" s="10">
        <v>0</v>
      </c>
      <c r="CH40" s="17">
        <f t="shared" si="27"/>
        <v>0</v>
      </c>
      <c r="CI40" s="10">
        <v>0</v>
      </c>
      <c r="CJ40" s="14">
        <f t="shared" si="28"/>
        <v>0</v>
      </c>
      <c r="CK40" s="10">
        <v>0</v>
      </c>
      <c r="CL40" s="14">
        <f t="shared" si="29"/>
        <v>0</v>
      </c>
      <c r="CM40" s="10">
        <v>0</v>
      </c>
      <c r="CN40" s="14">
        <f t="shared" si="30"/>
        <v>0</v>
      </c>
      <c r="CO40" s="10">
        <v>0</v>
      </c>
      <c r="CP40" s="14">
        <f t="shared" si="31"/>
        <v>0</v>
      </c>
      <c r="CQ40" s="10">
        <v>0</v>
      </c>
      <c r="CR40" s="14">
        <f t="shared" si="32"/>
        <v>0</v>
      </c>
      <c r="CS40" s="10">
        <v>0</v>
      </c>
      <c r="CT40" s="14">
        <f t="shared" si="33"/>
        <v>0</v>
      </c>
      <c r="CU40" s="10">
        <v>0</v>
      </c>
      <c r="CV40" s="14">
        <f t="shared" si="35"/>
        <v>0</v>
      </c>
      <c r="CW40" s="11">
        <v>98</v>
      </c>
      <c r="CX40" s="20">
        <f t="shared" si="36"/>
        <v>0</v>
      </c>
      <c r="DC40" s="140"/>
      <c r="DD40" s="140"/>
      <c r="DE40" s="140"/>
      <c r="DF40" s="140"/>
      <c r="DG40" s="140"/>
      <c r="DH40" s="140"/>
      <c r="DI40" s="140"/>
      <c r="DJ40" s="140"/>
      <c r="DK40" s="140"/>
      <c r="DL40" s="140"/>
      <c r="DM40" s="140"/>
      <c r="DN40" s="140"/>
      <c r="DO40" s="140"/>
      <c r="DP40" s="140"/>
      <c r="DQ40" s="140"/>
      <c r="DR40" s="140"/>
      <c r="DS40" s="140"/>
      <c r="DT40" s="140"/>
      <c r="DU40" s="140"/>
      <c r="DV40" s="140"/>
      <c r="DW40" s="140"/>
      <c r="DX40" s="140"/>
      <c r="DY40" s="140"/>
      <c r="DZ40" s="140"/>
      <c r="EA40" s="140"/>
      <c r="EB40" s="140"/>
      <c r="EC40" s="140"/>
      <c r="ED40" s="140"/>
      <c r="EE40" s="140"/>
      <c r="EF40" s="140"/>
      <c r="EG40" s="140"/>
      <c r="EH40" s="140"/>
      <c r="EI40" s="140"/>
      <c r="EJ40" s="140"/>
      <c r="EK40" s="140"/>
      <c r="EL40" s="140"/>
      <c r="EM40" s="140"/>
      <c r="EN40" s="140"/>
      <c r="EO40" s="140"/>
      <c r="EP40" s="140"/>
      <c r="EQ40" s="140"/>
      <c r="ER40" s="140"/>
      <c r="ES40" s="140"/>
      <c r="ET40" s="140"/>
      <c r="EU40" s="140"/>
      <c r="EV40" s="140"/>
      <c r="EW40" s="140"/>
      <c r="EX40" s="140"/>
    </row>
    <row r="41" spans="1:154" ht="15.5" thickBot="1" x14ac:dyDescent="0.35">
      <c r="A41" s="40"/>
      <c r="B41" s="141">
        <v>1</v>
      </c>
      <c r="C41" s="142">
        <f t="shared" si="0"/>
        <v>2.2417893264392381E-2</v>
      </c>
      <c r="D41" s="143" t="s">
        <v>87</v>
      </c>
      <c r="E41" s="144">
        <f t="shared" si="37"/>
        <v>22.417893264392383</v>
      </c>
      <c r="F41" s="145">
        <v>2.2417893264392381</v>
      </c>
      <c r="G41" s="145"/>
      <c r="H41" s="146"/>
      <c r="I41" s="147"/>
      <c r="J41" s="229">
        <f t="shared" si="38"/>
        <v>0</v>
      </c>
      <c r="K41" s="227">
        <f t="shared" si="39"/>
        <v>100</v>
      </c>
      <c r="L41" s="40"/>
      <c r="M41" s="150"/>
      <c r="N41" s="127"/>
      <c r="O41" s="127"/>
      <c r="P41" s="128"/>
      <c r="Q41" s="236"/>
      <c r="R41" s="236"/>
      <c r="S41" s="127"/>
      <c r="T41" s="151"/>
      <c r="U41" s="41"/>
      <c r="V41" s="125"/>
      <c r="W41" s="149"/>
      <c r="X41" s="253"/>
      <c r="Y41" s="149"/>
      <c r="Z41" s="253"/>
      <c r="AA41" s="149"/>
      <c r="AB41" s="253"/>
      <c r="AC41" s="149"/>
      <c r="AD41" s="253"/>
      <c r="AE41" s="149"/>
      <c r="AF41" s="126"/>
      <c r="AG41" s="40"/>
      <c r="AH41" s="148" t="s">
        <v>87</v>
      </c>
      <c r="AI41" s="31">
        <v>0</v>
      </c>
      <c r="AJ41" s="25">
        <f>F41*AI41%</f>
        <v>0</v>
      </c>
      <c r="AK41" s="26">
        <v>0</v>
      </c>
      <c r="AL41" s="27">
        <f>F41*AK41%</f>
        <v>0</v>
      </c>
      <c r="AM41" s="26">
        <v>0</v>
      </c>
      <c r="AN41" s="28">
        <f t="shared" si="3"/>
        <v>0</v>
      </c>
      <c r="AO41" s="26">
        <v>0</v>
      </c>
      <c r="AP41" s="29">
        <f t="shared" si="4"/>
        <v>0</v>
      </c>
      <c r="AQ41" s="26">
        <v>0</v>
      </c>
      <c r="AR41" s="29">
        <f t="shared" si="5"/>
        <v>0</v>
      </c>
      <c r="AS41" s="26">
        <v>0</v>
      </c>
      <c r="AT41" s="29">
        <f t="shared" si="6"/>
        <v>0</v>
      </c>
      <c r="AU41" s="26">
        <v>0</v>
      </c>
      <c r="AV41" s="29">
        <f t="shared" si="7"/>
        <v>0</v>
      </c>
      <c r="AW41" s="26">
        <v>0</v>
      </c>
      <c r="AX41" s="30">
        <f t="shared" si="8"/>
        <v>0</v>
      </c>
      <c r="AY41" s="26">
        <v>0</v>
      </c>
      <c r="AZ41" s="30">
        <f t="shared" si="9"/>
        <v>0</v>
      </c>
      <c r="BA41" s="26">
        <v>0</v>
      </c>
      <c r="BB41" s="30">
        <f t="shared" si="10"/>
        <v>0</v>
      </c>
      <c r="BC41" s="26">
        <v>0</v>
      </c>
      <c r="BD41" s="30">
        <f t="shared" si="11"/>
        <v>0</v>
      </c>
      <c r="BE41" s="26">
        <v>0</v>
      </c>
      <c r="BF41" s="30">
        <f t="shared" si="12"/>
        <v>0</v>
      </c>
      <c r="BG41" s="26">
        <v>0</v>
      </c>
      <c r="BH41" s="30">
        <f t="shared" si="13"/>
        <v>0</v>
      </c>
      <c r="BI41" s="26">
        <v>0</v>
      </c>
      <c r="BJ41" s="30">
        <f t="shared" si="14"/>
        <v>0</v>
      </c>
      <c r="BK41" s="26">
        <v>0</v>
      </c>
      <c r="BL41" s="30">
        <f t="shared" si="15"/>
        <v>0</v>
      </c>
      <c r="BM41" s="26">
        <v>0</v>
      </c>
      <c r="BN41" s="30">
        <f t="shared" si="16"/>
        <v>0</v>
      </c>
      <c r="BO41" s="26">
        <v>0</v>
      </c>
      <c r="BP41" s="30">
        <f t="shared" si="17"/>
        <v>0</v>
      </c>
      <c r="BQ41" s="26">
        <v>0</v>
      </c>
      <c r="BR41" s="30">
        <f t="shared" si="18"/>
        <v>0</v>
      </c>
      <c r="BS41" s="26">
        <v>0</v>
      </c>
      <c r="BT41" s="30">
        <f>F41*BS41%</f>
        <v>0</v>
      </c>
      <c r="BU41" s="26">
        <v>0</v>
      </c>
      <c r="BV41" s="30">
        <f t="shared" si="20"/>
        <v>0</v>
      </c>
      <c r="BW41" s="26">
        <v>0</v>
      </c>
      <c r="BX41" s="30">
        <f t="shared" si="21"/>
        <v>0</v>
      </c>
      <c r="BY41" s="26">
        <v>0</v>
      </c>
      <c r="BZ41" s="30">
        <f t="shared" si="22"/>
        <v>0</v>
      </c>
      <c r="CA41" s="26">
        <v>0</v>
      </c>
      <c r="CB41" s="30">
        <f t="shared" si="23"/>
        <v>0</v>
      </c>
      <c r="CC41" s="26">
        <v>0</v>
      </c>
      <c r="CD41" s="29">
        <f t="shared" si="24"/>
        <v>0</v>
      </c>
      <c r="CE41" s="31">
        <v>0</v>
      </c>
      <c r="CF41" s="29">
        <f t="shared" si="26"/>
        <v>0</v>
      </c>
      <c r="CG41" s="26">
        <v>0</v>
      </c>
      <c r="CH41" s="30">
        <f t="shared" si="27"/>
        <v>0</v>
      </c>
      <c r="CI41" s="26">
        <v>0</v>
      </c>
      <c r="CJ41" s="29">
        <f t="shared" si="28"/>
        <v>0</v>
      </c>
      <c r="CK41" s="26">
        <v>0</v>
      </c>
      <c r="CL41" s="29">
        <f t="shared" si="29"/>
        <v>0</v>
      </c>
      <c r="CM41" s="26">
        <v>0</v>
      </c>
      <c r="CN41" s="29">
        <f t="shared" si="30"/>
        <v>0</v>
      </c>
      <c r="CO41" s="26">
        <v>0</v>
      </c>
      <c r="CP41" s="29">
        <f t="shared" si="31"/>
        <v>0</v>
      </c>
      <c r="CQ41" s="26">
        <v>0</v>
      </c>
      <c r="CR41" s="29">
        <f t="shared" si="32"/>
        <v>0</v>
      </c>
      <c r="CS41" s="26">
        <v>0</v>
      </c>
      <c r="CT41" s="29">
        <f t="shared" si="33"/>
        <v>0</v>
      </c>
      <c r="CU41" s="26">
        <v>0</v>
      </c>
      <c r="CV41" s="29">
        <f t="shared" si="35"/>
        <v>0</v>
      </c>
      <c r="CW41" s="32">
        <v>98</v>
      </c>
      <c r="CX41" s="33">
        <f t="shared" si="36"/>
        <v>2.1969535399104534</v>
      </c>
      <c r="CY41" s="34"/>
      <c r="CZ41" s="40"/>
      <c r="DA41" s="40"/>
      <c r="DB41" s="40"/>
    </row>
    <row r="42" spans="1:154" ht="18" customHeight="1" thickBot="1" x14ac:dyDescent="0.35">
      <c r="A42" s="40"/>
      <c r="B42" s="40"/>
      <c r="C42" s="40"/>
      <c r="D42" s="80"/>
      <c r="E42" s="88">
        <f>SUM(E5:E41)</f>
        <v>987.9187717901267</v>
      </c>
      <c r="F42" s="89">
        <f>SUM(F5:F41)</f>
        <v>100.00000000000003</v>
      </c>
      <c r="G42" s="90"/>
      <c r="H42" s="102"/>
      <c r="I42" s="102"/>
      <c r="J42" s="243"/>
      <c r="K42" s="239"/>
      <c r="L42" s="40"/>
      <c r="M42" s="129"/>
      <c r="N42" s="65"/>
      <c r="O42" s="65"/>
      <c r="P42" s="95"/>
      <c r="Q42" s="233"/>
      <c r="R42" s="233"/>
      <c r="S42" s="65"/>
      <c r="T42" s="105"/>
      <c r="U42" s="50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40"/>
      <c r="AH42" s="57"/>
      <c r="AI42" s="51"/>
      <c r="AJ42" s="41"/>
      <c r="AK42" s="51"/>
      <c r="AL42" s="52"/>
      <c r="AM42" s="51"/>
      <c r="AN42" s="52"/>
      <c r="AO42" s="51"/>
      <c r="AP42" s="52"/>
      <c r="AQ42" s="51"/>
      <c r="AR42" s="52"/>
      <c r="AS42" s="51"/>
      <c r="AT42" s="53"/>
      <c r="AU42" s="51"/>
      <c r="AV42" s="53"/>
      <c r="AW42" s="51"/>
      <c r="AX42" s="53"/>
      <c r="AY42" s="51"/>
      <c r="AZ42" s="53"/>
      <c r="BA42" s="51"/>
      <c r="BB42" s="53"/>
      <c r="BC42" s="51"/>
      <c r="BD42" s="53"/>
      <c r="BE42" s="51"/>
      <c r="BF42" s="53"/>
      <c r="BG42" s="51"/>
      <c r="BH42" s="53"/>
      <c r="BI42" s="51"/>
      <c r="BJ42" s="53"/>
      <c r="BK42" s="51"/>
      <c r="BL42" s="53"/>
      <c r="BM42" s="51"/>
      <c r="BN42" s="53"/>
      <c r="BO42" s="51"/>
      <c r="BP42" s="53"/>
      <c r="BQ42" s="51"/>
      <c r="BR42" s="53"/>
      <c r="BS42" s="51"/>
      <c r="BT42" s="53"/>
      <c r="BU42" s="51"/>
      <c r="BV42" s="53"/>
      <c r="BW42" s="51"/>
      <c r="BX42" s="53"/>
      <c r="BY42" s="51"/>
      <c r="BZ42" s="53"/>
      <c r="CA42" s="51"/>
      <c r="CB42" s="53"/>
      <c r="CC42" s="51"/>
      <c r="CD42" s="53"/>
      <c r="CE42" s="51"/>
      <c r="CF42" s="54"/>
      <c r="CG42" s="51"/>
      <c r="CH42" s="53"/>
      <c r="CI42" s="51"/>
      <c r="CJ42" s="53"/>
      <c r="CK42" s="51"/>
      <c r="CL42" s="53"/>
      <c r="CM42" s="51"/>
      <c r="CN42" s="53"/>
      <c r="CO42" s="51"/>
      <c r="CP42" s="53"/>
      <c r="CQ42" s="51"/>
      <c r="CR42" s="53"/>
      <c r="CS42" s="51"/>
      <c r="CT42" s="53"/>
      <c r="CU42" s="51"/>
      <c r="CV42" s="53"/>
      <c r="CW42" s="51"/>
      <c r="CX42" s="48"/>
      <c r="CY42" s="40"/>
      <c r="CZ42" s="40"/>
      <c r="DA42" s="40"/>
      <c r="DB42" s="40"/>
    </row>
    <row r="43" spans="1:154" s="40" customFormat="1" x14ac:dyDescent="0.3">
      <c r="B43" s="42"/>
      <c r="C43" s="42"/>
      <c r="D43" s="72"/>
      <c r="E43" s="73"/>
      <c r="F43" s="43"/>
      <c r="G43" s="43"/>
      <c r="H43" s="43"/>
      <c r="I43" s="43"/>
      <c r="J43" s="238"/>
      <c r="K43" s="239"/>
      <c r="M43" s="129"/>
      <c r="N43" s="65"/>
      <c r="O43" s="65"/>
      <c r="P43" s="95"/>
      <c r="Q43" s="233"/>
      <c r="R43" s="233"/>
      <c r="S43" s="65"/>
      <c r="T43" s="105"/>
      <c r="U43" s="50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H43" s="57"/>
      <c r="AI43" s="46"/>
      <c r="AJ43" s="41"/>
      <c r="AK43" s="49"/>
      <c r="AL43" s="50"/>
      <c r="AM43" s="49"/>
      <c r="AN43" s="50"/>
      <c r="AO43" s="49"/>
      <c r="AP43" s="50"/>
      <c r="AQ43" s="49"/>
      <c r="AR43" s="50"/>
      <c r="AS43" s="49"/>
      <c r="AT43" s="48"/>
      <c r="AU43" s="49"/>
      <c r="AV43" s="48"/>
      <c r="AW43" s="49"/>
      <c r="AX43" s="48"/>
      <c r="AY43" s="49"/>
      <c r="AZ43" s="48"/>
      <c r="BA43" s="49"/>
      <c r="BB43" s="48"/>
      <c r="BC43" s="49"/>
      <c r="BD43" s="48"/>
      <c r="BE43" s="49"/>
      <c r="BF43" s="48"/>
      <c r="BG43" s="49"/>
      <c r="BH43" s="48"/>
      <c r="BI43" s="49"/>
      <c r="BJ43" s="48"/>
      <c r="BK43" s="49"/>
      <c r="BL43" s="48"/>
      <c r="BM43" s="49"/>
      <c r="BN43" s="48"/>
      <c r="BO43" s="49"/>
      <c r="BP43" s="48"/>
      <c r="BQ43" s="49"/>
      <c r="BR43" s="48"/>
      <c r="BS43" s="49"/>
      <c r="BT43" s="48"/>
      <c r="BU43" s="49"/>
      <c r="BV43" s="48"/>
      <c r="BW43" s="49"/>
      <c r="BX43" s="48"/>
      <c r="BY43" s="49"/>
      <c r="BZ43" s="48"/>
      <c r="CA43" s="49"/>
      <c r="CB43" s="48"/>
      <c r="CC43" s="49"/>
      <c r="CD43" s="48"/>
      <c r="CE43" s="49"/>
      <c r="CF43" s="48"/>
      <c r="CG43" s="49"/>
      <c r="CH43" s="48"/>
      <c r="CI43" s="49"/>
      <c r="CJ43" s="48"/>
      <c r="CK43" s="49"/>
      <c r="CL43" s="48"/>
      <c r="CM43" s="49"/>
      <c r="CN43" s="48"/>
      <c r="CO43" s="49"/>
      <c r="CP43" s="48"/>
      <c r="CQ43" s="49"/>
      <c r="CR43" s="48"/>
      <c r="CS43" s="49"/>
      <c r="CT43" s="48"/>
      <c r="CU43" s="49"/>
      <c r="CV43" s="48"/>
      <c r="CW43" s="49"/>
      <c r="CX43" s="48"/>
      <c r="DC43" s="138"/>
      <c r="DD43" s="138"/>
      <c r="DE43" s="138"/>
      <c r="DF43" s="138"/>
      <c r="DG43" s="138"/>
      <c r="DH43" s="138"/>
      <c r="DI43" s="138"/>
      <c r="DJ43" s="138"/>
      <c r="DK43" s="138"/>
      <c r="DL43" s="138"/>
      <c r="DM43" s="138"/>
      <c r="DN43" s="138"/>
      <c r="DO43" s="138"/>
      <c r="DP43" s="138"/>
      <c r="DQ43" s="138"/>
      <c r="DR43" s="138"/>
      <c r="DS43" s="138"/>
      <c r="DT43" s="138"/>
      <c r="DU43" s="138"/>
      <c r="DV43" s="138"/>
      <c r="DW43" s="138"/>
      <c r="DX43" s="138"/>
      <c r="DY43" s="138"/>
      <c r="DZ43" s="138"/>
      <c r="EA43" s="138"/>
      <c r="EB43" s="138"/>
      <c r="EC43" s="138"/>
      <c r="ED43" s="138"/>
      <c r="EE43" s="138"/>
      <c r="EF43" s="138"/>
      <c r="EG43" s="138"/>
      <c r="EH43" s="138"/>
      <c r="EI43" s="138"/>
      <c r="EJ43" s="138"/>
      <c r="EK43" s="138"/>
      <c r="EL43" s="138"/>
      <c r="EM43" s="138"/>
      <c r="EN43" s="138"/>
      <c r="EO43" s="138"/>
      <c r="EP43" s="138"/>
      <c r="EQ43" s="138"/>
      <c r="ER43" s="138"/>
      <c r="ES43" s="138"/>
      <c r="ET43" s="138"/>
      <c r="EU43" s="138"/>
      <c r="EV43" s="138"/>
      <c r="EW43" s="138"/>
      <c r="EX43" s="138"/>
    </row>
    <row r="44" spans="1:154" s="40" customFormat="1" x14ac:dyDescent="0.3">
      <c r="B44" s="42"/>
      <c r="C44" s="42"/>
      <c r="D44" s="72"/>
      <c r="E44" s="73"/>
      <c r="F44" s="43"/>
      <c r="G44" s="43"/>
      <c r="H44" s="43"/>
      <c r="I44" s="43"/>
      <c r="J44" s="238"/>
      <c r="K44" s="239"/>
      <c r="M44" s="129"/>
      <c r="N44" s="65"/>
      <c r="O44" s="65"/>
      <c r="P44" s="95"/>
      <c r="Q44" s="233"/>
      <c r="R44" s="233"/>
      <c r="S44" s="65"/>
      <c r="T44" s="105"/>
      <c r="U44" s="50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H44" s="57"/>
      <c r="AI44" s="46"/>
      <c r="AJ44" s="41"/>
      <c r="AK44" s="46"/>
      <c r="AL44" s="41"/>
      <c r="AM44" s="46"/>
      <c r="AN44" s="41"/>
      <c r="AO44" s="46"/>
      <c r="AP44" s="41"/>
      <c r="AQ44" s="46"/>
      <c r="AR44" s="41"/>
      <c r="AS44" s="46"/>
      <c r="AT44" s="47"/>
      <c r="AU44" s="46"/>
      <c r="AV44" s="47"/>
      <c r="AW44" s="46"/>
      <c r="AX44" s="47"/>
      <c r="AY44" s="46"/>
      <c r="AZ44" s="47"/>
      <c r="BA44" s="46"/>
      <c r="BB44" s="47"/>
      <c r="BC44" s="46"/>
      <c r="BD44" s="47"/>
      <c r="BE44" s="46"/>
      <c r="BF44" s="47"/>
      <c r="BG44" s="46"/>
      <c r="BH44" s="47"/>
      <c r="BI44" s="46"/>
      <c r="BJ44" s="47"/>
      <c r="BK44" s="46"/>
      <c r="BL44" s="47"/>
      <c r="BM44" s="46"/>
      <c r="BN44" s="47"/>
      <c r="BO44" s="46"/>
      <c r="BP44" s="47"/>
      <c r="BQ44" s="46"/>
      <c r="BR44" s="47"/>
      <c r="BS44" s="46"/>
      <c r="BT44" s="47"/>
      <c r="BU44" s="46"/>
      <c r="BV44" s="47"/>
      <c r="BW44" s="46"/>
      <c r="BX44" s="47"/>
      <c r="BY44" s="46"/>
      <c r="BZ44" s="47"/>
      <c r="CA44" s="46"/>
      <c r="CB44" s="47"/>
      <c r="CC44" s="46"/>
      <c r="CD44" s="47"/>
      <c r="CE44" s="46"/>
      <c r="CF44" s="47"/>
      <c r="CG44" s="46"/>
      <c r="CH44" s="47"/>
      <c r="CI44" s="46"/>
      <c r="CJ44" s="47"/>
      <c r="CK44" s="46"/>
      <c r="CL44" s="47"/>
      <c r="CM44" s="46"/>
      <c r="CN44" s="47"/>
      <c r="CO44" s="46"/>
      <c r="CP44" s="47"/>
      <c r="CQ44" s="46"/>
      <c r="CR44" s="47"/>
      <c r="CS44" s="46"/>
      <c r="CT44" s="47"/>
      <c r="CU44" s="46"/>
      <c r="CV44" s="47"/>
      <c r="CW44" s="46"/>
      <c r="CX44" s="48"/>
      <c r="DC44" s="138"/>
      <c r="DD44" s="138"/>
      <c r="DE44" s="138"/>
      <c r="DF44" s="138"/>
      <c r="DG44" s="138"/>
      <c r="DH44" s="138"/>
      <c r="DI44" s="138"/>
      <c r="DJ44" s="138"/>
      <c r="DK44" s="138"/>
      <c r="DL44" s="138"/>
      <c r="DM44" s="138"/>
      <c r="DN44" s="138"/>
      <c r="DO44" s="138"/>
      <c r="DP44" s="138"/>
      <c r="DQ44" s="138"/>
      <c r="DR44" s="138"/>
      <c r="DS44" s="138"/>
      <c r="DT44" s="138"/>
      <c r="DU44" s="138"/>
      <c r="DV44" s="138"/>
      <c r="DW44" s="138"/>
      <c r="DX44" s="138"/>
      <c r="DY44" s="138"/>
      <c r="DZ44" s="138"/>
      <c r="EA44" s="138"/>
      <c r="EB44" s="138"/>
      <c r="EC44" s="138"/>
      <c r="ED44" s="138"/>
      <c r="EE44" s="138"/>
      <c r="EF44" s="138"/>
      <c r="EG44" s="138"/>
      <c r="EH44" s="138"/>
      <c r="EI44" s="138"/>
      <c r="EJ44" s="138"/>
      <c r="EK44" s="138"/>
      <c r="EL44" s="138"/>
      <c r="EM44" s="138"/>
      <c r="EN44" s="138"/>
      <c r="EO44" s="138"/>
      <c r="EP44" s="138"/>
      <c r="EQ44" s="138"/>
      <c r="ER44" s="138"/>
      <c r="ES44" s="138"/>
      <c r="ET44" s="138"/>
      <c r="EU44" s="138"/>
      <c r="EV44" s="138"/>
      <c r="EW44" s="138"/>
      <c r="EX44" s="138"/>
    </row>
    <row r="45" spans="1:154" s="40" customFormat="1" x14ac:dyDescent="0.3">
      <c r="B45" s="42"/>
      <c r="C45" s="42"/>
      <c r="D45" s="72"/>
      <c r="E45" s="73"/>
      <c r="F45" s="43"/>
      <c r="G45" s="43"/>
      <c r="H45" s="43"/>
      <c r="I45" s="43"/>
      <c r="J45" s="238"/>
      <c r="K45" s="239"/>
      <c r="M45" s="130"/>
      <c r="N45" s="65"/>
      <c r="O45" s="65"/>
      <c r="P45" s="95"/>
      <c r="Q45" s="233"/>
      <c r="R45" s="233"/>
      <c r="S45" s="65"/>
      <c r="T45" s="106"/>
      <c r="U45" s="50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H45" s="57"/>
      <c r="AI45" s="46"/>
      <c r="AJ45" s="41"/>
      <c r="AK45" s="46"/>
      <c r="AL45" s="41"/>
      <c r="AM45" s="46"/>
      <c r="AN45" s="41"/>
      <c r="AO45" s="46"/>
      <c r="AP45" s="41"/>
      <c r="AQ45" s="46"/>
      <c r="AR45" s="41"/>
      <c r="AS45" s="46"/>
      <c r="AT45" s="47"/>
      <c r="AU45" s="46"/>
      <c r="AV45" s="47"/>
      <c r="AW45" s="46"/>
      <c r="AX45" s="47"/>
      <c r="AY45" s="46"/>
      <c r="AZ45" s="47"/>
      <c r="BA45" s="46"/>
      <c r="BB45" s="47"/>
      <c r="BC45" s="46"/>
      <c r="BD45" s="47"/>
      <c r="BE45" s="46"/>
      <c r="BF45" s="47"/>
      <c r="BG45" s="46"/>
      <c r="BH45" s="47"/>
      <c r="BI45" s="46"/>
      <c r="BJ45" s="47"/>
      <c r="BK45" s="46"/>
      <c r="BL45" s="47"/>
      <c r="BM45" s="46"/>
      <c r="BN45" s="47"/>
      <c r="BO45" s="46"/>
      <c r="BP45" s="47"/>
      <c r="BQ45" s="46"/>
      <c r="BR45" s="47"/>
      <c r="BS45" s="46"/>
      <c r="BT45" s="47"/>
      <c r="BU45" s="46"/>
      <c r="BV45" s="47"/>
      <c r="BW45" s="46"/>
      <c r="BX45" s="47"/>
      <c r="BY45" s="46"/>
      <c r="BZ45" s="47"/>
      <c r="CA45" s="46"/>
      <c r="CB45" s="47"/>
      <c r="CC45" s="46"/>
      <c r="CD45" s="47"/>
      <c r="CE45" s="46"/>
      <c r="CF45" s="47"/>
      <c r="CG45" s="46"/>
      <c r="CH45" s="47"/>
      <c r="CI45" s="46"/>
      <c r="CJ45" s="47"/>
      <c r="CK45" s="46"/>
      <c r="CL45" s="47"/>
      <c r="CM45" s="46"/>
      <c r="CN45" s="47"/>
      <c r="CO45" s="46"/>
      <c r="CP45" s="47"/>
      <c r="CQ45" s="46"/>
      <c r="CR45" s="47"/>
      <c r="CS45" s="46"/>
      <c r="CT45" s="47"/>
      <c r="CU45" s="46"/>
      <c r="CV45" s="47"/>
      <c r="CW45" s="46"/>
      <c r="CX45" s="48"/>
      <c r="DC45" s="138"/>
      <c r="DD45" s="138"/>
      <c r="DE45" s="138"/>
      <c r="DF45" s="138"/>
      <c r="DG45" s="138"/>
      <c r="DH45" s="138"/>
      <c r="DI45" s="138"/>
      <c r="DJ45" s="138"/>
      <c r="DK45" s="138"/>
      <c r="DL45" s="138"/>
      <c r="DM45" s="138"/>
      <c r="DN45" s="138"/>
      <c r="DO45" s="138"/>
      <c r="DP45" s="138"/>
      <c r="DQ45" s="138"/>
      <c r="DR45" s="138"/>
      <c r="DS45" s="138"/>
      <c r="DT45" s="138"/>
      <c r="DU45" s="138"/>
      <c r="DV45" s="138"/>
      <c r="DW45" s="138"/>
      <c r="DX45" s="138"/>
      <c r="DY45" s="138"/>
      <c r="DZ45" s="138"/>
      <c r="EA45" s="138"/>
      <c r="EB45" s="138"/>
      <c r="EC45" s="138"/>
      <c r="ED45" s="138"/>
      <c r="EE45" s="138"/>
      <c r="EF45" s="138"/>
      <c r="EG45" s="138"/>
      <c r="EH45" s="138"/>
      <c r="EI45" s="138"/>
      <c r="EJ45" s="138"/>
      <c r="EK45" s="138"/>
      <c r="EL45" s="138"/>
      <c r="EM45" s="138"/>
      <c r="EN45" s="138"/>
      <c r="EO45" s="138"/>
      <c r="EP45" s="138"/>
      <c r="EQ45" s="138"/>
      <c r="ER45" s="138"/>
      <c r="ES45" s="138"/>
      <c r="ET45" s="138"/>
      <c r="EU45" s="138"/>
      <c r="EV45" s="138"/>
      <c r="EW45" s="138"/>
      <c r="EX45" s="138"/>
    </row>
    <row r="46" spans="1:154" s="40" customFormat="1" x14ac:dyDescent="0.3">
      <c r="B46" s="42"/>
      <c r="C46" s="42"/>
      <c r="D46" s="72"/>
      <c r="E46" s="73"/>
      <c r="F46" s="43"/>
      <c r="G46" s="43"/>
      <c r="H46" s="43"/>
      <c r="I46" s="43"/>
      <c r="J46" s="238"/>
      <c r="K46" s="239"/>
      <c r="M46" s="129"/>
      <c r="N46" s="65"/>
      <c r="O46" s="65"/>
      <c r="P46" s="95"/>
      <c r="Q46" s="233"/>
      <c r="R46" s="233"/>
      <c r="S46" s="65"/>
      <c r="T46" s="105"/>
      <c r="U46" s="50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H46" s="57"/>
      <c r="AI46" s="46"/>
      <c r="AJ46" s="41"/>
      <c r="AK46" s="46"/>
      <c r="AL46" s="41"/>
      <c r="AM46" s="46"/>
      <c r="AN46" s="41"/>
      <c r="AO46" s="46"/>
      <c r="AP46" s="41"/>
      <c r="AQ46" s="46"/>
      <c r="AR46" s="41"/>
      <c r="AS46" s="46"/>
      <c r="AT46" s="47"/>
      <c r="AU46" s="46"/>
      <c r="AV46" s="47"/>
      <c r="AW46" s="46"/>
      <c r="AX46" s="47"/>
      <c r="AY46" s="46"/>
      <c r="AZ46" s="47"/>
      <c r="BA46" s="46"/>
      <c r="BB46" s="47"/>
      <c r="BC46" s="46"/>
      <c r="BD46" s="47"/>
      <c r="BE46" s="46"/>
      <c r="BF46" s="47"/>
      <c r="BG46" s="46"/>
      <c r="BH46" s="47"/>
      <c r="BI46" s="46"/>
      <c r="BJ46" s="47"/>
      <c r="BK46" s="46"/>
      <c r="BL46" s="47"/>
      <c r="BM46" s="46"/>
      <c r="BN46" s="47"/>
      <c r="BO46" s="46"/>
      <c r="BP46" s="47"/>
      <c r="BQ46" s="46"/>
      <c r="BR46" s="47"/>
      <c r="BS46" s="46"/>
      <c r="BT46" s="47"/>
      <c r="BU46" s="46"/>
      <c r="BV46" s="47"/>
      <c r="BW46" s="46"/>
      <c r="BX46" s="47"/>
      <c r="BY46" s="46"/>
      <c r="BZ46" s="47"/>
      <c r="CA46" s="46"/>
      <c r="CB46" s="47"/>
      <c r="CC46" s="46"/>
      <c r="CD46" s="47"/>
      <c r="CE46" s="46"/>
      <c r="CF46" s="47"/>
      <c r="CG46" s="46"/>
      <c r="CH46" s="47"/>
      <c r="CI46" s="46"/>
      <c r="CJ46" s="47"/>
      <c r="CK46" s="46"/>
      <c r="CL46" s="47"/>
      <c r="CM46" s="46"/>
      <c r="CN46" s="47"/>
      <c r="CO46" s="46"/>
      <c r="CP46" s="47"/>
      <c r="CQ46" s="46"/>
      <c r="CR46" s="47"/>
      <c r="CS46" s="46"/>
      <c r="CT46" s="47"/>
      <c r="CU46" s="46"/>
      <c r="CV46" s="47"/>
      <c r="CW46" s="46"/>
      <c r="CX46" s="48"/>
      <c r="DC46" s="138"/>
      <c r="DD46" s="138"/>
      <c r="DE46" s="138"/>
      <c r="DF46" s="138"/>
      <c r="DG46" s="138"/>
      <c r="DH46" s="138"/>
      <c r="DI46" s="138"/>
      <c r="DJ46" s="138"/>
      <c r="DK46" s="138"/>
      <c r="DL46" s="138"/>
      <c r="DM46" s="138"/>
      <c r="DN46" s="138"/>
      <c r="DO46" s="138"/>
      <c r="DP46" s="138"/>
      <c r="DQ46" s="138"/>
      <c r="DR46" s="138"/>
      <c r="DS46" s="138"/>
      <c r="DT46" s="138"/>
      <c r="DU46" s="138"/>
      <c r="DV46" s="138"/>
      <c r="DW46" s="138"/>
      <c r="DX46" s="138"/>
      <c r="DY46" s="138"/>
      <c r="DZ46" s="138"/>
      <c r="EA46" s="138"/>
      <c r="EB46" s="138"/>
      <c r="EC46" s="138"/>
      <c r="ED46" s="138"/>
      <c r="EE46" s="138"/>
      <c r="EF46" s="138"/>
      <c r="EG46" s="138"/>
      <c r="EH46" s="138"/>
      <c r="EI46" s="138"/>
      <c r="EJ46" s="138"/>
      <c r="EK46" s="138"/>
      <c r="EL46" s="138"/>
      <c r="EM46" s="138"/>
      <c r="EN46" s="138"/>
      <c r="EO46" s="138"/>
      <c r="EP46" s="138"/>
      <c r="EQ46" s="138"/>
      <c r="ER46" s="138"/>
      <c r="ES46" s="138"/>
      <c r="ET46" s="138"/>
      <c r="EU46" s="138"/>
      <c r="EV46" s="138"/>
      <c r="EW46" s="138"/>
      <c r="EX46" s="138"/>
    </row>
    <row r="47" spans="1:154" s="40" customFormat="1" x14ac:dyDescent="0.3">
      <c r="B47" s="42"/>
      <c r="C47" s="42"/>
      <c r="D47" s="72"/>
      <c r="E47" s="73"/>
      <c r="F47" s="43"/>
      <c r="G47" s="43"/>
      <c r="H47" s="43"/>
      <c r="I47" s="43"/>
      <c r="J47" s="238"/>
      <c r="K47" s="239"/>
      <c r="M47" s="130"/>
      <c r="N47" s="65"/>
      <c r="O47" s="65"/>
      <c r="P47" s="95"/>
      <c r="Q47" s="233"/>
      <c r="R47" s="233"/>
      <c r="S47" s="65"/>
      <c r="T47" s="106"/>
      <c r="U47" s="50"/>
      <c r="V47" s="106"/>
      <c r="W47" s="106"/>
      <c r="X47" s="106"/>
      <c r="Y47" s="106"/>
      <c r="Z47" s="106"/>
      <c r="AA47" s="106"/>
      <c r="AB47" s="106"/>
      <c r="AC47" s="106"/>
      <c r="AD47" s="106"/>
      <c r="AE47" s="106"/>
      <c r="AF47" s="106"/>
      <c r="AH47" s="57"/>
      <c r="AI47" s="46"/>
      <c r="AJ47" s="41"/>
      <c r="AK47" s="46"/>
      <c r="AL47" s="41"/>
      <c r="AM47" s="46"/>
      <c r="AN47" s="41"/>
      <c r="AO47" s="46"/>
      <c r="AP47" s="41"/>
      <c r="AQ47" s="46"/>
      <c r="AR47" s="41"/>
      <c r="AS47" s="46"/>
      <c r="AT47" s="47"/>
      <c r="AU47" s="46"/>
      <c r="AV47" s="47"/>
      <c r="AW47" s="46"/>
      <c r="AX47" s="47"/>
      <c r="AY47" s="46"/>
      <c r="AZ47" s="47"/>
      <c r="BA47" s="46"/>
      <c r="BB47" s="47"/>
      <c r="BC47" s="46"/>
      <c r="BD47" s="47"/>
      <c r="BE47" s="46"/>
      <c r="BF47" s="47"/>
      <c r="BG47" s="46"/>
      <c r="BH47" s="47"/>
      <c r="BI47" s="46"/>
      <c r="BJ47" s="47"/>
      <c r="BK47" s="46"/>
      <c r="BL47" s="47"/>
      <c r="BM47" s="46"/>
      <c r="BN47" s="47"/>
      <c r="BO47" s="46"/>
      <c r="BP47" s="47"/>
      <c r="BQ47" s="46"/>
      <c r="BR47" s="47"/>
      <c r="BS47" s="46"/>
      <c r="BT47" s="47"/>
      <c r="BU47" s="46"/>
      <c r="BV47" s="47"/>
      <c r="BW47" s="46"/>
      <c r="BX47" s="47"/>
      <c r="BY47" s="46"/>
      <c r="BZ47" s="47"/>
      <c r="CA47" s="46"/>
      <c r="CB47" s="47"/>
      <c r="CC47" s="46"/>
      <c r="CD47" s="47"/>
      <c r="CE47" s="46"/>
      <c r="CF47" s="47"/>
      <c r="CG47" s="46"/>
      <c r="CH47" s="47"/>
      <c r="CI47" s="46"/>
      <c r="CJ47" s="47"/>
      <c r="CK47" s="46"/>
      <c r="CL47" s="47"/>
      <c r="CM47" s="46"/>
      <c r="CN47" s="47"/>
      <c r="CO47" s="46"/>
      <c r="CP47" s="47"/>
      <c r="CQ47" s="46"/>
      <c r="CR47" s="47"/>
      <c r="CS47" s="46"/>
      <c r="CT47" s="47"/>
      <c r="CU47" s="46"/>
      <c r="CV47" s="47"/>
      <c r="CW47" s="46"/>
      <c r="CX47" s="48"/>
      <c r="DC47" s="138"/>
      <c r="DD47" s="138"/>
      <c r="DE47" s="138"/>
      <c r="DF47" s="138"/>
      <c r="DG47" s="138"/>
      <c r="DH47" s="138"/>
      <c r="DI47" s="138"/>
      <c r="DJ47" s="138"/>
      <c r="DK47" s="138"/>
      <c r="DL47" s="138"/>
      <c r="DM47" s="138"/>
      <c r="DN47" s="138"/>
      <c r="DO47" s="138"/>
      <c r="DP47" s="138"/>
      <c r="DQ47" s="138"/>
      <c r="DR47" s="138"/>
      <c r="DS47" s="138"/>
      <c r="DT47" s="138"/>
      <c r="DU47" s="138"/>
      <c r="DV47" s="138"/>
      <c r="DW47" s="138"/>
      <c r="DX47" s="138"/>
      <c r="DY47" s="138"/>
      <c r="DZ47" s="138"/>
      <c r="EA47" s="138"/>
      <c r="EB47" s="138"/>
      <c r="EC47" s="138"/>
      <c r="ED47" s="138"/>
      <c r="EE47" s="138"/>
      <c r="EF47" s="138"/>
      <c r="EG47" s="138"/>
      <c r="EH47" s="138"/>
      <c r="EI47" s="138"/>
      <c r="EJ47" s="138"/>
      <c r="EK47" s="138"/>
      <c r="EL47" s="138"/>
      <c r="EM47" s="138"/>
      <c r="EN47" s="138"/>
      <c r="EO47" s="138"/>
      <c r="EP47" s="138"/>
      <c r="EQ47" s="138"/>
      <c r="ER47" s="138"/>
      <c r="ES47" s="138"/>
      <c r="ET47" s="138"/>
      <c r="EU47" s="138"/>
      <c r="EV47" s="138"/>
      <c r="EW47" s="138"/>
      <c r="EX47" s="138"/>
    </row>
    <row r="48" spans="1:154" x14ac:dyDescent="0.3">
      <c r="M48" s="2"/>
      <c r="N48" s="2"/>
      <c r="O48" s="2"/>
      <c r="P48" s="2"/>
      <c r="Q48" s="8"/>
      <c r="R48" s="8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</row>
    <row r="49" spans="13:32" x14ac:dyDescent="0.3">
      <c r="M49" s="2"/>
      <c r="N49" s="2"/>
      <c r="O49" s="2"/>
      <c r="P49" s="2"/>
      <c r="Q49" s="8"/>
      <c r="R49" s="8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</row>
    <row r="50" spans="13:32" x14ac:dyDescent="0.3">
      <c r="M50" s="2"/>
      <c r="N50" s="2"/>
      <c r="O50" s="2"/>
      <c r="P50" s="2"/>
      <c r="Q50" s="8"/>
      <c r="R50" s="8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</row>
    <row r="51" spans="13:32" x14ac:dyDescent="0.3">
      <c r="M51" s="2"/>
      <c r="N51" s="2"/>
      <c r="O51" s="2"/>
      <c r="P51" s="2"/>
      <c r="Q51" s="8"/>
      <c r="R51" s="8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</row>
    <row r="52" spans="13:32" x14ac:dyDescent="0.3">
      <c r="M52" s="2"/>
      <c r="N52" s="2"/>
      <c r="O52" s="2"/>
      <c r="P52" s="2"/>
      <c r="Q52" s="8"/>
      <c r="R52" s="8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</row>
    <row r="53" spans="13:32" x14ac:dyDescent="0.3">
      <c r="M53" s="2"/>
      <c r="N53" s="2"/>
      <c r="O53" s="2"/>
      <c r="P53" s="2"/>
      <c r="Q53" s="8"/>
      <c r="R53" s="8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</row>
    <row r="54" spans="13:32" x14ac:dyDescent="0.3">
      <c r="M54" s="2"/>
      <c r="N54" s="2"/>
      <c r="O54" s="2"/>
      <c r="P54" s="2"/>
      <c r="Q54" s="8"/>
      <c r="R54" s="8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</row>
    <row r="55" spans="13:32" x14ac:dyDescent="0.3">
      <c r="M55" s="2"/>
      <c r="N55" s="2"/>
      <c r="O55" s="2"/>
      <c r="P55" s="2"/>
      <c r="Q55" s="8"/>
      <c r="R55" s="8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</row>
    <row r="56" spans="13:32" x14ac:dyDescent="0.3">
      <c r="M56" s="2"/>
      <c r="N56" s="2"/>
      <c r="O56" s="2"/>
      <c r="P56" s="2"/>
      <c r="Q56" s="8"/>
      <c r="R56" s="8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</row>
    <row r="57" spans="13:32" x14ac:dyDescent="0.3">
      <c r="M57" s="2"/>
      <c r="N57" s="2"/>
      <c r="O57" s="2"/>
      <c r="P57" s="2"/>
      <c r="Q57" s="8"/>
      <c r="R57" s="8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</row>
    <row r="58" spans="13:32" x14ac:dyDescent="0.3">
      <c r="M58" s="2"/>
      <c r="N58" s="2"/>
      <c r="O58" s="2"/>
      <c r="P58" s="2"/>
      <c r="Q58" s="8"/>
      <c r="R58" s="8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</row>
    <row r="59" spans="13:32" x14ac:dyDescent="0.3">
      <c r="M59" s="2"/>
      <c r="N59" s="2"/>
      <c r="O59" s="2"/>
      <c r="P59" s="2"/>
      <c r="Q59" s="8"/>
      <c r="R59" s="8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</row>
    <row r="60" spans="13:32" x14ac:dyDescent="0.3">
      <c r="M60" s="2"/>
      <c r="N60" s="2"/>
      <c r="O60" s="2"/>
      <c r="P60" s="2"/>
      <c r="Q60" s="8"/>
      <c r="R60" s="8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</row>
    <row r="61" spans="13:32" x14ac:dyDescent="0.3">
      <c r="M61" s="2"/>
      <c r="N61" s="2"/>
      <c r="O61" s="2"/>
      <c r="P61" s="2"/>
      <c r="Q61" s="8"/>
      <c r="R61" s="8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</row>
    <row r="62" spans="13:32" x14ac:dyDescent="0.3">
      <c r="M62" s="2"/>
      <c r="N62" s="2"/>
      <c r="O62" s="2"/>
      <c r="P62" s="2"/>
      <c r="Q62" s="8"/>
      <c r="R62" s="8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</row>
    <row r="63" spans="13:32" x14ac:dyDescent="0.3">
      <c r="M63" s="2"/>
      <c r="N63" s="2"/>
      <c r="O63" s="2"/>
      <c r="P63" s="2"/>
      <c r="Q63" s="8"/>
      <c r="R63" s="8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</row>
    <row r="64" spans="13:32" x14ac:dyDescent="0.3">
      <c r="M64" s="2"/>
      <c r="N64" s="2"/>
      <c r="O64" s="2"/>
      <c r="P64" s="2"/>
      <c r="Q64" s="8"/>
      <c r="R64" s="8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</row>
    <row r="65" spans="13:32" x14ac:dyDescent="0.3">
      <c r="M65" s="2"/>
      <c r="N65" s="2"/>
      <c r="O65" s="2"/>
      <c r="P65" s="2"/>
      <c r="Q65" s="8"/>
      <c r="R65" s="8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</row>
    <row r="66" spans="13:32" x14ac:dyDescent="0.3">
      <c r="M66" s="2"/>
      <c r="N66" s="2"/>
      <c r="O66" s="2"/>
      <c r="P66" s="2"/>
      <c r="Q66" s="8"/>
      <c r="R66" s="8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</row>
    <row r="67" spans="13:32" x14ac:dyDescent="0.3">
      <c r="M67" s="2"/>
      <c r="N67" s="2"/>
      <c r="O67" s="2"/>
      <c r="P67" s="2"/>
      <c r="Q67" s="8"/>
      <c r="R67" s="8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</row>
    <row r="68" spans="13:32" x14ac:dyDescent="0.3">
      <c r="M68" s="2"/>
      <c r="N68" s="2"/>
      <c r="O68" s="2"/>
      <c r="P68" s="2"/>
      <c r="Q68" s="8"/>
      <c r="R68" s="8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</row>
    <row r="69" spans="13:32" x14ac:dyDescent="0.3">
      <c r="M69" s="2"/>
      <c r="N69" s="2"/>
      <c r="O69" s="2"/>
      <c r="P69" s="2"/>
      <c r="Q69" s="8"/>
      <c r="R69" s="8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</row>
    <row r="70" spans="13:32" x14ac:dyDescent="0.3">
      <c r="M70" s="2"/>
      <c r="N70" s="2"/>
      <c r="O70" s="2"/>
      <c r="P70" s="2"/>
      <c r="Q70" s="8"/>
      <c r="R70" s="8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</row>
    <row r="71" spans="13:32" x14ac:dyDescent="0.3">
      <c r="M71" s="2"/>
      <c r="N71" s="2"/>
      <c r="O71" s="2"/>
      <c r="P71" s="2"/>
      <c r="Q71" s="8"/>
      <c r="R71" s="8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</row>
    <row r="72" spans="13:32" x14ac:dyDescent="0.3">
      <c r="M72" s="2"/>
      <c r="N72" s="2"/>
      <c r="O72" s="2"/>
      <c r="P72" s="2"/>
      <c r="Q72" s="8"/>
      <c r="R72" s="8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</row>
    <row r="73" spans="13:32" x14ac:dyDescent="0.3">
      <c r="M73" s="2"/>
      <c r="N73" s="2"/>
      <c r="O73" s="2"/>
      <c r="P73" s="2"/>
      <c r="Q73" s="8"/>
      <c r="R73" s="8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</row>
    <row r="74" spans="13:32" x14ac:dyDescent="0.3">
      <c r="M74" s="2"/>
      <c r="N74" s="2"/>
      <c r="O74" s="2"/>
      <c r="P74" s="2"/>
      <c r="Q74" s="8"/>
      <c r="R74" s="8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</row>
    <row r="75" spans="13:32" x14ac:dyDescent="0.3">
      <c r="M75" s="2"/>
      <c r="N75" s="2"/>
      <c r="O75" s="2"/>
      <c r="P75" s="2"/>
      <c r="Q75" s="8"/>
      <c r="R75" s="8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</row>
    <row r="76" spans="13:32" x14ac:dyDescent="0.3">
      <c r="M76" s="2"/>
      <c r="N76" s="2"/>
      <c r="O76" s="2"/>
      <c r="P76" s="2"/>
      <c r="Q76" s="8"/>
      <c r="R76" s="8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</row>
    <row r="77" spans="13:32" x14ac:dyDescent="0.3">
      <c r="M77" s="2"/>
      <c r="N77" s="2"/>
      <c r="O77" s="2"/>
      <c r="P77" s="2"/>
      <c r="Q77" s="8"/>
      <c r="R77" s="8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</row>
    <row r="78" spans="13:32" x14ac:dyDescent="0.3">
      <c r="M78" s="2"/>
      <c r="N78" s="2"/>
      <c r="O78" s="2"/>
      <c r="P78" s="2"/>
      <c r="Q78" s="8"/>
      <c r="R78" s="8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</row>
    <row r="79" spans="13:32" x14ac:dyDescent="0.3">
      <c r="M79" s="2"/>
      <c r="N79" s="2"/>
      <c r="O79" s="2"/>
      <c r="P79" s="2"/>
      <c r="Q79" s="8"/>
      <c r="R79" s="8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</row>
    <row r="80" spans="13:32" x14ac:dyDescent="0.3">
      <c r="M80" s="2"/>
      <c r="N80" s="2"/>
      <c r="O80" s="2"/>
      <c r="P80" s="2"/>
      <c r="Q80" s="8"/>
      <c r="R80" s="8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</row>
    <row r="81" spans="13:32" x14ac:dyDescent="0.3">
      <c r="M81" s="2"/>
      <c r="N81" s="2"/>
      <c r="O81" s="2"/>
      <c r="P81" s="2"/>
      <c r="Q81" s="8"/>
      <c r="R81" s="8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</row>
    <row r="82" spans="13:32" x14ac:dyDescent="0.3">
      <c r="M82" s="2"/>
      <c r="N82" s="2"/>
      <c r="O82" s="2"/>
      <c r="P82" s="2"/>
      <c r="Q82" s="8"/>
      <c r="R82" s="8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</row>
    <row r="83" spans="13:32" x14ac:dyDescent="0.3">
      <c r="M83" s="2"/>
      <c r="N83" s="2"/>
      <c r="O83" s="2"/>
      <c r="P83" s="2"/>
      <c r="Q83" s="8"/>
      <c r="R83" s="8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</row>
    <row r="84" spans="13:32" x14ac:dyDescent="0.3">
      <c r="M84" s="2"/>
      <c r="N84" s="2"/>
      <c r="O84" s="2"/>
      <c r="P84" s="2"/>
      <c r="Q84" s="8"/>
      <c r="R84" s="8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</row>
    <row r="85" spans="13:32" x14ac:dyDescent="0.3">
      <c r="M85" s="2"/>
      <c r="N85" s="2"/>
      <c r="O85" s="2"/>
      <c r="P85" s="2"/>
      <c r="Q85" s="8"/>
      <c r="R85" s="8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</row>
    <row r="86" spans="13:32" x14ac:dyDescent="0.3">
      <c r="M86" s="2"/>
      <c r="N86" s="2"/>
      <c r="O86" s="2"/>
      <c r="P86" s="2"/>
      <c r="Q86" s="8"/>
      <c r="R86" s="8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</row>
    <row r="87" spans="13:32" x14ac:dyDescent="0.3">
      <c r="M87" s="2"/>
      <c r="N87" s="2"/>
      <c r="O87" s="2"/>
      <c r="P87" s="2"/>
      <c r="Q87" s="8"/>
      <c r="R87" s="8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</row>
    <row r="88" spans="13:32" x14ac:dyDescent="0.3">
      <c r="M88" s="2"/>
      <c r="N88" s="2"/>
      <c r="O88" s="2"/>
      <c r="P88" s="2"/>
      <c r="Q88" s="8"/>
      <c r="R88" s="8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</row>
    <row r="89" spans="13:32" x14ac:dyDescent="0.3">
      <c r="M89" s="2"/>
      <c r="N89" s="2"/>
      <c r="O89" s="2"/>
      <c r="P89" s="2"/>
      <c r="Q89" s="8"/>
      <c r="R89" s="8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</row>
    <row r="90" spans="13:32" x14ac:dyDescent="0.3">
      <c r="M90" s="2"/>
      <c r="N90" s="2"/>
      <c r="O90" s="2"/>
      <c r="P90" s="2"/>
      <c r="Q90" s="8"/>
      <c r="R90" s="8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</row>
    <row r="91" spans="13:32" x14ac:dyDescent="0.3">
      <c r="M91" s="2"/>
      <c r="N91" s="2"/>
      <c r="O91" s="2"/>
      <c r="P91" s="2"/>
      <c r="Q91" s="8"/>
      <c r="R91" s="8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</row>
  </sheetData>
  <mergeCells count="79">
    <mergeCell ref="M3:M4"/>
    <mergeCell ref="D3:D4"/>
    <mergeCell ref="C3:C4"/>
    <mergeCell ref="B3:B4"/>
    <mergeCell ref="F3:F4"/>
    <mergeCell ref="H3:I3"/>
    <mergeCell ref="AP3:AP4"/>
    <mergeCell ref="N3:N4"/>
    <mergeCell ref="S3:S4"/>
    <mergeCell ref="T3:T4"/>
    <mergeCell ref="AI3:AI4"/>
    <mergeCell ref="AK3:AK4"/>
    <mergeCell ref="AM3:AM4"/>
    <mergeCell ref="AO3:AO4"/>
    <mergeCell ref="AJ3:AJ4"/>
    <mergeCell ref="AL3:AL4"/>
    <mergeCell ref="AN3:AN4"/>
    <mergeCell ref="AH3:AH4"/>
    <mergeCell ref="O3:P3"/>
    <mergeCell ref="BB3:BB4"/>
    <mergeCell ref="AQ3:AQ4"/>
    <mergeCell ref="AR3:AR4"/>
    <mergeCell ref="AS3:AS4"/>
    <mergeCell ref="AT3:AT4"/>
    <mergeCell ref="AU3:AU4"/>
    <mergeCell ref="AV3:AV4"/>
    <mergeCell ref="AW3:AW4"/>
    <mergeCell ref="AX3:AX4"/>
    <mergeCell ref="AY3:AY4"/>
    <mergeCell ref="AZ3:AZ4"/>
    <mergeCell ref="BA3:BA4"/>
    <mergeCell ref="BN3:BN4"/>
    <mergeCell ref="BC3:BC4"/>
    <mergeCell ref="BD3:BD4"/>
    <mergeCell ref="BE3:BE4"/>
    <mergeCell ref="BF3:BF4"/>
    <mergeCell ref="BG3:BG4"/>
    <mergeCell ref="BH3:BH4"/>
    <mergeCell ref="BI3:BI4"/>
    <mergeCell ref="BJ3:BJ4"/>
    <mergeCell ref="BK3:BK4"/>
    <mergeCell ref="BL3:BL4"/>
    <mergeCell ref="BM3:BM4"/>
    <mergeCell ref="CG3:CG4"/>
    <mergeCell ref="CI3:CI4"/>
    <mergeCell ref="CK3:CK4"/>
    <mergeCell ref="CJ3:CJ4"/>
    <mergeCell ref="BO3:BO4"/>
    <mergeCell ref="BQ3:BQ4"/>
    <mergeCell ref="BS3:BS4"/>
    <mergeCell ref="BU3:BU4"/>
    <mergeCell ref="BW3:BW4"/>
    <mergeCell ref="BY3:BY4"/>
    <mergeCell ref="BP3:BP4"/>
    <mergeCell ref="BR3:BR4"/>
    <mergeCell ref="BT3:BT4"/>
    <mergeCell ref="BV3:BV4"/>
    <mergeCell ref="CH3:CH4"/>
    <mergeCell ref="BX3:BX4"/>
    <mergeCell ref="BZ3:BZ4"/>
    <mergeCell ref="CB3:CB4"/>
    <mergeCell ref="CD3:CD4"/>
    <mergeCell ref="CF3:CF4"/>
    <mergeCell ref="CA3:CA4"/>
    <mergeCell ref="CC3:CC4"/>
    <mergeCell ref="CE3:CE4"/>
    <mergeCell ref="CX3:CX4"/>
    <mergeCell ref="CL3:CL4"/>
    <mergeCell ref="CN3:CN4"/>
    <mergeCell ref="CP3:CP4"/>
    <mergeCell ref="CR3:CR4"/>
    <mergeCell ref="CT3:CT4"/>
    <mergeCell ref="CV3:CV4"/>
    <mergeCell ref="CU3:CU4"/>
    <mergeCell ref="CW3:CW4"/>
    <mergeCell ref="CM3:CM4"/>
    <mergeCell ref="CO3:CO4"/>
    <mergeCell ref="CQ3:CQ4"/>
    <mergeCell ref="CS3:CS4"/>
  </mergeCells>
  <conditionalFormatting sqref="E5:J9 J36:J41 E11:J13 E16:J35">
    <cfRule type="cellIs" priority="18" operator="equal">
      <formula>0</formula>
    </cfRule>
    <cfRule type="cellIs" priority="19" operator="equal">
      <formula>0</formula>
    </cfRule>
  </conditionalFormatting>
  <conditionalFormatting sqref="E5:J9 J36:J41 E11:J13 E16:J35">
    <cfRule type="cellIs" dxfId="11" priority="17" operator="equal">
      <formula>0</formula>
    </cfRule>
  </conditionalFormatting>
  <conditionalFormatting sqref="E10:J10">
    <cfRule type="cellIs" priority="14" operator="equal">
      <formula>0</formula>
    </cfRule>
    <cfRule type="cellIs" priority="15" operator="equal">
      <formula>0</formula>
    </cfRule>
  </conditionalFormatting>
  <conditionalFormatting sqref="E10:J10">
    <cfRule type="cellIs" dxfId="10" priority="13" operator="equal">
      <formula>0</formula>
    </cfRule>
  </conditionalFormatting>
  <conditionalFormatting sqref="E35:I37">
    <cfRule type="cellIs" priority="11" operator="equal">
      <formula>0</formula>
    </cfRule>
    <cfRule type="cellIs" priority="12" operator="equal">
      <formula>0</formula>
    </cfRule>
  </conditionalFormatting>
  <conditionalFormatting sqref="E35:I37">
    <cfRule type="cellIs" dxfId="9" priority="10" operator="equal">
      <formula>0</formula>
    </cfRule>
  </conditionalFormatting>
  <conditionalFormatting sqref="E38:I41">
    <cfRule type="cellIs" dxfId="8" priority="1" operator="equal">
      <formula>0</formula>
    </cfRule>
  </conditionalFormatting>
  <conditionalFormatting sqref="E14:J14">
    <cfRule type="cellIs" priority="8" operator="equal">
      <formula>0</formula>
    </cfRule>
    <cfRule type="cellIs" priority="9" operator="equal">
      <formula>0</formula>
    </cfRule>
  </conditionalFormatting>
  <conditionalFormatting sqref="E14:J14">
    <cfRule type="cellIs" dxfId="7" priority="7" operator="equal">
      <formula>0</formula>
    </cfRule>
  </conditionalFormatting>
  <conditionalFormatting sqref="E15:J15">
    <cfRule type="cellIs" priority="5" operator="equal">
      <formula>0</formula>
    </cfRule>
    <cfRule type="cellIs" priority="6" operator="equal">
      <formula>0</formula>
    </cfRule>
  </conditionalFormatting>
  <conditionalFormatting sqref="E15:J15">
    <cfRule type="cellIs" dxfId="6" priority="4" operator="equal">
      <formula>0</formula>
    </cfRule>
  </conditionalFormatting>
  <conditionalFormatting sqref="E38:I41">
    <cfRule type="cellIs" priority="2" operator="equal">
      <formula>0</formula>
    </cfRule>
    <cfRule type="cellIs" priority="3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81060-7443-4609-885F-565176BB8E5D}">
  <dimension ref="A1:EX91"/>
  <sheetViews>
    <sheetView rightToLeft="1" zoomScale="70" zoomScaleNormal="70" workbookViewId="0">
      <selection activeCell="U1" sqref="U1"/>
    </sheetView>
  </sheetViews>
  <sheetFormatPr defaultRowHeight="15" x14ac:dyDescent="0.3"/>
  <cols>
    <col min="1" max="1" width="8.08984375" style="2" customWidth="1"/>
    <col min="2" max="2" width="12.26953125" style="23" bestFit="1" customWidth="1"/>
    <col min="3" max="3" width="11.54296875" style="23" bestFit="1" customWidth="1"/>
    <col min="4" max="4" width="27.26953125" style="81" bestFit="1" customWidth="1"/>
    <col min="5" max="5" width="14.6328125" style="82" hidden="1" customWidth="1"/>
    <col min="6" max="6" width="15.26953125" style="3" customWidth="1"/>
    <col min="7" max="7" width="3.1796875" style="3" customWidth="1"/>
    <col min="8" max="8" width="10.81640625" style="3" customWidth="1"/>
    <col min="9" max="9" width="11.26953125" style="3" customWidth="1"/>
    <col min="10" max="10" width="6.08984375" style="244" hidden="1" customWidth="1"/>
    <col min="11" max="11" width="5" style="245" hidden="1" customWidth="1"/>
    <col min="12" max="12" width="7.6328125" style="2" customWidth="1"/>
    <col min="13" max="13" width="20.7265625" style="81" bestFit="1" customWidth="1"/>
    <col min="14" max="14" width="7.81640625" style="4" customWidth="1"/>
    <col min="15" max="15" width="11.36328125" style="4" customWidth="1"/>
    <col min="16" max="16" width="11.54296875" style="97" customWidth="1"/>
    <col min="17" max="17" width="4.54296875" style="237" customWidth="1"/>
    <col min="18" max="18" width="7" style="237" customWidth="1"/>
    <col min="19" max="19" width="3.1796875" style="4" customWidth="1"/>
    <col min="20" max="21" width="11.81640625" style="5" customWidth="1"/>
    <col min="22" max="22" width="4" style="5" bestFit="1" customWidth="1"/>
    <col min="23" max="23" width="10.54296875" style="5" bestFit="1" customWidth="1"/>
    <col min="24" max="24" width="3.453125" style="5" bestFit="1" customWidth="1"/>
    <col min="25" max="25" width="10.54296875" style="5" bestFit="1" customWidth="1"/>
    <col min="26" max="26" width="3.453125" style="5" bestFit="1" customWidth="1"/>
    <col min="27" max="27" width="11.7265625" style="5" bestFit="1" customWidth="1"/>
    <col min="28" max="28" width="3.453125" style="5" bestFit="1" customWidth="1"/>
    <col min="29" max="29" width="12.90625" style="5" bestFit="1" customWidth="1"/>
    <col min="30" max="30" width="3.453125" style="5" bestFit="1" customWidth="1"/>
    <col min="31" max="31" width="12.90625" style="5" bestFit="1" customWidth="1"/>
    <col min="32" max="32" width="4" style="5" bestFit="1" customWidth="1"/>
    <col min="33" max="33" width="7.08984375" style="2" customWidth="1"/>
    <col min="34" max="34" width="23.81640625" style="58" bestFit="1" customWidth="1"/>
    <col min="35" max="35" width="11.1796875" style="8" bestFit="1" customWidth="1"/>
    <col min="36" max="36" width="3.7265625" style="5" hidden="1" customWidth="1"/>
    <col min="37" max="37" width="7.54296875" style="8" bestFit="1" customWidth="1"/>
    <col min="38" max="38" width="4" style="5" hidden="1" customWidth="1"/>
    <col min="39" max="39" width="6.36328125" style="8" bestFit="1" customWidth="1"/>
    <col min="40" max="40" width="5.1796875" style="5" hidden="1" customWidth="1"/>
    <col min="41" max="41" width="13.81640625" style="8" bestFit="1" customWidth="1"/>
    <col min="42" max="42" width="10.81640625" style="5" hidden="1" customWidth="1"/>
    <col min="43" max="43" width="10" style="8" bestFit="1" customWidth="1"/>
    <col min="44" max="44" width="5.1796875" style="5" hidden="1" customWidth="1"/>
    <col min="45" max="45" width="6.36328125" style="8" bestFit="1" customWidth="1"/>
    <col min="46" max="46" width="5.1796875" style="15" hidden="1" customWidth="1"/>
    <col min="47" max="47" width="7.26953125" style="8" bestFit="1" customWidth="1"/>
    <col min="48" max="48" width="5.1796875" style="15" hidden="1" customWidth="1"/>
    <col min="49" max="49" width="7" style="8" bestFit="1" customWidth="1"/>
    <col min="50" max="50" width="6.36328125" style="15" hidden="1" customWidth="1"/>
    <col min="51" max="51" width="7.453125" style="8" bestFit="1" customWidth="1"/>
    <col min="52" max="52" width="6.36328125" style="15" hidden="1" customWidth="1"/>
    <col min="53" max="53" width="9.26953125" style="8" customWidth="1"/>
    <col min="54" max="54" width="6.36328125" style="15" hidden="1" customWidth="1"/>
    <col min="55" max="55" width="7.1796875" style="8" bestFit="1" customWidth="1"/>
    <col min="56" max="56" width="7.1796875" style="15" hidden="1" customWidth="1"/>
    <col min="57" max="57" width="7.1796875" style="8" bestFit="1" customWidth="1"/>
    <col min="58" max="58" width="7.1796875" style="15" hidden="1" customWidth="1"/>
    <col min="59" max="59" width="7.1796875" style="8" bestFit="1" customWidth="1"/>
    <col min="60" max="60" width="6.36328125" style="15" hidden="1" customWidth="1"/>
    <col min="61" max="61" width="6.36328125" style="8" bestFit="1" customWidth="1"/>
    <col min="62" max="62" width="6.36328125" style="15" hidden="1" customWidth="1"/>
    <col min="63" max="63" width="7.54296875" style="8" bestFit="1" customWidth="1"/>
    <col min="64" max="64" width="7.54296875" style="15" hidden="1" customWidth="1"/>
    <col min="65" max="65" width="6.7265625" style="8" bestFit="1" customWidth="1"/>
    <col min="66" max="66" width="6.7265625" style="15" hidden="1" customWidth="1"/>
    <col min="67" max="67" width="7.54296875" style="8" bestFit="1" customWidth="1"/>
    <col min="68" max="68" width="7.54296875" style="15" hidden="1" customWidth="1"/>
    <col min="69" max="69" width="9.54296875" style="8" bestFit="1" customWidth="1"/>
    <col min="70" max="70" width="6.36328125" style="15" hidden="1" customWidth="1"/>
    <col min="71" max="71" width="9.1796875" style="8" bestFit="1" customWidth="1"/>
    <col min="72" max="72" width="6.453125" style="15" hidden="1" customWidth="1"/>
    <col min="73" max="73" width="6.81640625" style="9" bestFit="1" customWidth="1"/>
    <col min="74" max="74" width="6.36328125" style="19" hidden="1" customWidth="1"/>
    <col min="75" max="75" width="7.54296875" style="8" bestFit="1" customWidth="1"/>
    <col min="76" max="76" width="6.36328125" style="15" hidden="1" customWidth="1"/>
    <col min="77" max="77" width="6.36328125" style="8" bestFit="1" customWidth="1"/>
    <col min="78" max="78" width="6.36328125" style="15" hidden="1" customWidth="1"/>
    <col min="79" max="79" width="7.54296875" style="8" bestFit="1" customWidth="1"/>
    <col min="80" max="80" width="7.54296875" style="15" hidden="1" customWidth="1"/>
    <col min="81" max="81" width="6.36328125" style="8" bestFit="1" customWidth="1"/>
    <col min="82" max="82" width="6.36328125" style="15" hidden="1" customWidth="1"/>
    <col min="83" max="83" width="14.453125" style="8" bestFit="1" customWidth="1"/>
    <col min="84" max="84" width="7.54296875" style="15" hidden="1" customWidth="1"/>
    <col min="85" max="85" width="12.90625" style="8" bestFit="1" customWidth="1"/>
    <col min="86" max="86" width="7.90625" style="15" hidden="1" customWidth="1"/>
    <col min="87" max="87" width="7" style="8" bestFit="1" customWidth="1"/>
    <col min="88" max="88" width="5.1796875" style="15" customWidth="1"/>
    <col min="89" max="89" width="7" style="8" bestFit="1" customWidth="1"/>
    <col min="90" max="90" width="5.1796875" style="15" customWidth="1"/>
    <col min="91" max="91" width="10.08984375" style="8" bestFit="1" customWidth="1"/>
    <col min="92" max="92" width="7.26953125" style="15" customWidth="1"/>
    <col min="93" max="93" width="7.90625" style="8" bestFit="1" customWidth="1"/>
    <col min="94" max="94" width="5.1796875" style="15" hidden="1" customWidth="1"/>
    <col min="95" max="95" width="7.7265625" style="8" bestFit="1" customWidth="1"/>
    <col min="96" max="96" width="5.1796875" style="15" hidden="1" customWidth="1"/>
    <col min="97" max="97" width="9.54296875" style="8" bestFit="1" customWidth="1"/>
    <col min="98" max="98" width="6.7265625" style="15" hidden="1" customWidth="1"/>
    <col min="99" max="99" width="7.7265625" style="8" bestFit="1" customWidth="1"/>
    <col min="100" max="100" width="5.1796875" style="15" hidden="1" customWidth="1"/>
    <col min="101" max="101" width="7.81640625" style="8" bestFit="1" customWidth="1"/>
    <col min="102" max="102" width="8.7265625" style="16" hidden="1" customWidth="1"/>
    <col min="103" max="106" width="8.7265625" style="2"/>
    <col min="107" max="154" width="8.7265625" style="138"/>
    <col min="155" max="16384" width="8.7265625" style="2"/>
  </cols>
  <sheetData>
    <row r="1" spans="1:154" ht="27" customHeight="1" thickBot="1" x14ac:dyDescent="0.35">
      <c r="A1" s="40"/>
      <c r="B1" s="42"/>
      <c r="C1" s="42"/>
      <c r="D1" s="72"/>
      <c r="E1" s="73"/>
      <c r="F1" s="43"/>
      <c r="G1" s="43"/>
      <c r="H1" s="43"/>
      <c r="I1" s="43"/>
      <c r="J1" s="238"/>
      <c r="K1" s="239"/>
      <c r="L1" s="40"/>
      <c r="M1" s="72"/>
      <c r="N1" s="44"/>
      <c r="O1" s="44"/>
      <c r="P1" s="94"/>
      <c r="Q1" s="230"/>
      <c r="R1" s="230"/>
      <c r="S1" s="44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0"/>
      <c r="AH1" s="57"/>
      <c r="AI1" s="46"/>
      <c r="AJ1" s="41"/>
      <c r="AK1" s="46"/>
      <c r="AL1" s="41"/>
      <c r="AM1" s="46"/>
      <c r="AN1" s="41"/>
      <c r="AO1" s="46"/>
      <c r="AP1" s="41"/>
      <c r="AQ1" s="46"/>
      <c r="AR1" s="41"/>
      <c r="AS1" s="46"/>
      <c r="AT1" s="47"/>
      <c r="AU1" s="46"/>
      <c r="AV1" s="47"/>
      <c r="AW1" s="46"/>
      <c r="AX1" s="47"/>
      <c r="AY1" s="46"/>
      <c r="AZ1" s="47"/>
      <c r="BA1" s="46"/>
      <c r="BB1" s="47"/>
      <c r="BC1" s="46"/>
      <c r="BD1" s="47"/>
      <c r="BE1" s="46"/>
      <c r="BF1" s="47"/>
      <c r="BG1" s="46"/>
      <c r="BH1" s="47"/>
      <c r="BI1" s="46"/>
      <c r="BJ1" s="47"/>
      <c r="BK1" s="46"/>
      <c r="BL1" s="47"/>
      <c r="BM1" s="46"/>
      <c r="BN1" s="47"/>
      <c r="BO1" s="46"/>
      <c r="BP1" s="47"/>
      <c r="BQ1" s="46"/>
      <c r="BR1" s="47"/>
      <c r="BS1" s="46"/>
      <c r="BT1" s="47"/>
      <c r="BU1" s="46"/>
      <c r="BV1" s="47"/>
      <c r="BW1" s="46"/>
      <c r="BX1" s="47"/>
      <c r="BY1" s="46"/>
      <c r="BZ1" s="47"/>
      <c r="CA1" s="46"/>
      <c r="CB1" s="47"/>
      <c r="CC1" s="46"/>
      <c r="CD1" s="47"/>
      <c r="CE1" s="46"/>
      <c r="CF1" s="47"/>
      <c r="CG1" s="46"/>
      <c r="CH1" s="47"/>
      <c r="CI1" s="46"/>
      <c r="CJ1" s="47"/>
      <c r="CK1" s="46"/>
      <c r="CL1" s="47"/>
      <c r="CM1" s="46"/>
      <c r="CN1" s="47"/>
      <c r="CO1" s="46"/>
      <c r="CP1" s="47"/>
      <c r="CQ1" s="46"/>
      <c r="CR1" s="47"/>
      <c r="CS1" s="46"/>
      <c r="CT1" s="47"/>
      <c r="CU1" s="46"/>
      <c r="CV1" s="47"/>
      <c r="CW1" s="46"/>
      <c r="CX1" s="48"/>
      <c r="CY1" s="40"/>
      <c r="CZ1" s="40"/>
      <c r="DA1" s="40"/>
      <c r="DB1" s="40"/>
    </row>
    <row r="2" spans="1:154" s="40" customFormat="1" ht="24" customHeight="1" thickBot="1" x14ac:dyDescent="0.35">
      <c r="B2" s="92" t="s">
        <v>127</v>
      </c>
      <c r="C2" s="93">
        <f>SUM(C5:C41)</f>
        <v>19075.24320952571</v>
      </c>
      <c r="D2" s="72"/>
      <c r="E2" s="73"/>
      <c r="F2" s="43"/>
      <c r="G2" s="43"/>
      <c r="H2" s="43"/>
      <c r="I2" s="43"/>
      <c r="J2" s="238"/>
      <c r="K2" s="239"/>
      <c r="M2" s="72"/>
      <c r="N2" s="44"/>
      <c r="O2" s="44"/>
      <c r="P2" s="94"/>
      <c r="Q2" s="230"/>
      <c r="R2" s="230"/>
      <c r="S2" s="44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H2" s="57"/>
      <c r="AI2" s="46"/>
      <c r="AJ2" s="41"/>
      <c r="AK2" s="46"/>
      <c r="AL2" s="41"/>
      <c r="AM2" s="46"/>
      <c r="AN2" s="41"/>
      <c r="AO2" s="46"/>
      <c r="AP2" s="41"/>
      <c r="AQ2" s="46"/>
      <c r="AR2" s="41"/>
      <c r="AS2" s="46"/>
      <c r="AT2" s="47"/>
      <c r="AU2" s="46"/>
      <c r="AV2" s="47"/>
      <c r="AW2" s="46"/>
      <c r="AX2" s="47"/>
      <c r="AY2" s="46"/>
      <c r="AZ2" s="47"/>
      <c r="BA2" s="46"/>
      <c r="BB2" s="47"/>
      <c r="BC2" s="46"/>
      <c r="BD2" s="47"/>
      <c r="BE2" s="46"/>
      <c r="BF2" s="47"/>
      <c r="BG2" s="46"/>
      <c r="BH2" s="47"/>
      <c r="BI2" s="46"/>
      <c r="BJ2" s="47"/>
      <c r="BK2" s="46"/>
      <c r="BL2" s="47"/>
      <c r="BM2" s="46"/>
      <c r="BN2" s="47"/>
      <c r="BP2" s="42"/>
      <c r="BQ2" s="42"/>
      <c r="BR2" s="72"/>
      <c r="BS2" s="73"/>
      <c r="BT2" s="43"/>
      <c r="BU2" s="43"/>
      <c r="BV2" s="43"/>
      <c r="BW2" s="43"/>
      <c r="BX2" s="45"/>
      <c r="BZ2" s="72"/>
      <c r="CA2" s="44"/>
      <c r="CB2" s="85"/>
      <c r="CC2" s="44"/>
      <c r="CD2" s="41"/>
      <c r="CF2" s="57"/>
      <c r="CG2" s="46"/>
      <c r="CH2" s="41"/>
      <c r="CI2" s="46"/>
      <c r="CJ2" s="41"/>
      <c r="CK2" s="46"/>
      <c r="CL2" s="41"/>
      <c r="CM2" s="46"/>
      <c r="CN2" s="41"/>
      <c r="CO2" s="46"/>
      <c r="CP2" s="41"/>
      <c r="CQ2" s="46"/>
      <c r="CR2" s="47"/>
      <c r="CS2" s="46"/>
      <c r="CT2" s="47"/>
      <c r="CU2" s="46"/>
      <c r="CV2" s="47"/>
      <c r="CW2" s="46"/>
      <c r="CX2" s="47"/>
      <c r="CY2" s="46"/>
      <c r="CZ2" s="47"/>
      <c r="DA2" s="46"/>
      <c r="DB2" s="47"/>
      <c r="DC2" s="9"/>
      <c r="DD2" s="19"/>
      <c r="DE2" s="9"/>
      <c r="DF2" s="19"/>
      <c r="DG2" s="9"/>
      <c r="DH2" s="19"/>
      <c r="DI2" s="9"/>
      <c r="DJ2" s="19"/>
      <c r="DK2" s="9"/>
      <c r="DL2" s="19"/>
      <c r="DM2" s="9"/>
      <c r="DN2" s="19"/>
      <c r="DO2" s="9"/>
      <c r="DP2" s="19"/>
      <c r="DQ2" s="9"/>
      <c r="DR2" s="19"/>
      <c r="DS2" s="9"/>
      <c r="DT2" s="19"/>
      <c r="DU2" s="9"/>
      <c r="DV2" s="19"/>
      <c r="DW2" s="9"/>
      <c r="DX2" s="19"/>
      <c r="DY2" s="9"/>
      <c r="DZ2" s="19"/>
      <c r="EA2" s="9"/>
      <c r="EB2" s="19"/>
      <c r="EC2" s="9"/>
      <c r="ED2" s="19"/>
      <c r="EE2" s="9"/>
      <c r="EF2" s="19"/>
      <c r="EG2" s="9"/>
      <c r="EH2" s="19"/>
      <c r="EI2" s="9"/>
      <c r="EJ2" s="19"/>
      <c r="EK2" s="9"/>
      <c r="EL2" s="19"/>
      <c r="EM2" s="9"/>
      <c r="EN2" s="19"/>
      <c r="EO2" s="9"/>
      <c r="EP2" s="19"/>
      <c r="EQ2" s="9"/>
      <c r="ER2" s="19"/>
      <c r="ES2" s="9"/>
      <c r="ET2" s="19"/>
      <c r="EU2" s="9"/>
      <c r="EV2" s="139"/>
      <c r="EW2" s="138"/>
      <c r="EX2" s="138"/>
    </row>
    <row r="3" spans="1:154" ht="15.5" customHeight="1" x14ac:dyDescent="0.3">
      <c r="A3" s="40"/>
      <c r="B3" s="284" t="s">
        <v>80</v>
      </c>
      <c r="C3" s="282" t="s">
        <v>81</v>
      </c>
      <c r="D3" s="280" t="s">
        <v>82</v>
      </c>
      <c r="E3" s="224" t="s">
        <v>83</v>
      </c>
      <c r="F3" s="280" t="s">
        <v>84</v>
      </c>
      <c r="G3" s="224"/>
      <c r="H3" s="271" t="s">
        <v>85</v>
      </c>
      <c r="I3" s="286"/>
      <c r="J3" s="240"/>
      <c r="K3" s="241"/>
      <c r="L3" s="40"/>
      <c r="M3" s="278" t="s">
        <v>124</v>
      </c>
      <c r="N3" s="271"/>
      <c r="O3" s="277" t="s">
        <v>125</v>
      </c>
      <c r="P3" s="277"/>
      <c r="Q3" s="231"/>
      <c r="R3" s="231"/>
      <c r="S3" s="271"/>
      <c r="T3" s="273" t="s">
        <v>126</v>
      </c>
      <c r="U3" s="41"/>
      <c r="V3" s="108"/>
      <c r="W3" s="107"/>
      <c r="X3" s="246"/>
      <c r="Y3" s="107"/>
      <c r="Z3" s="246"/>
      <c r="AA3" s="107"/>
      <c r="AB3" s="246"/>
      <c r="AC3" s="107"/>
      <c r="AD3" s="246"/>
      <c r="AE3" s="107"/>
      <c r="AF3" s="107"/>
      <c r="AG3" s="110"/>
      <c r="AH3" s="275"/>
      <c r="AI3" s="259" t="s">
        <v>54</v>
      </c>
      <c r="AJ3" s="257" t="s">
        <v>88</v>
      </c>
      <c r="AK3" s="259" t="s">
        <v>55</v>
      </c>
      <c r="AL3" s="257" t="s">
        <v>89</v>
      </c>
      <c r="AM3" s="259" t="s">
        <v>56</v>
      </c>
      <c r="AN3" s="257" t="s">
        <v>90</v>
      </c>
      <c r="AO3" s="259" t="s">
        <v>57</v>
      </c>
      <c r="AP3" s="257" t="s">
        <v>99</v>
      </c>
      <c r="AQ3" s="259" t="s">
        <v>5</v>
      </c>
      <c r="AR3" s="257" t="s">
        <v>91</v>
      </c>
      <c r="AS3" s="259" t="s">
        <v>58</v>
      </c>
      <c r="AT3" s="257" t="s">
        <v>92</v>
      </c>
      <c r="AU3" s="259" t="s">
        <v>4</v>
      </c>
      <c r="AV3" s="257" t="s">
        <v>93</v>
      </c>
      <c r="AW3" s="269" t="s">
        <v>59</v>
      </c>
      <c r="AX3" s="267" t="s">
        <v>94</v>
      </c>
      <c r="AY3" s="269" t="s">
        <v>60</v>
      </c>
      <c r="AZ3" s="267" t="s">
        <v>95</v>
      </c>
      <c r="BA3" s="269" t="s">
        <v>64</v>
      </c>
      <c r="BB3" s="267" t="s">
        <v>96</v>
      </c>
      <c r="BC3" s="269" t="s">
        <v>61</v>
      </c>
      <c r="BD3" s="267" t="s">
        <v>97</v>
      </c>
      <c r="BE3" s="269" t="s">
        <v>62</v>
      </c>
      <c r="BF3" s="267" t="s">
        <v>98</v>
      </c>
      <c r="BG3" s="269" t="s">
        <v>63</v>
      </c>
      <c r="BH3" s="267" t="s">
        <v>100</v>
      </c>
      <c r="BI3" s="269" t="s">
        <v>65</v>
      </c>
      <c r="BJ3" s="267" t="s">
        <v>101</v>
      </c>
      <c r="BK3" s="269" t="s">
        <v>66</v>
      </c>
      <c r="BL3" s="267" t="s">
        <v>102</v>
      </c>
      <c r="BM3" s="269" t="s">
        <v>67</v>
      </c>
      <c r="BN3" s="267" t="s">
        <v>103</v>
      </c>
      <c r="BO3" s="259" t="s">
        <v>68</v>
      </c>
      <c r="BP3" s="257" t="s">
        <v>104</v>
      </c>
      <c r="BQ3" s="259" t="s">
        <v>69</v>
      </c>
      <c r="BR3" s="257" t="s">
        <v>105</v>
      </c>
      <c r="BS3" s="259" t="s">
        <v>70</v>
      </c>
      <c r="BT3" s="257" t="s">
        <v>106</v>
      </c>
      <c r="BU3" s="263" t="s">
        <v>71</v>
      </c>
      <c r="BV3" s="265" t="s">
        <v>107</v>
      </c>
      <c r="BW3" s="259" t="s">
        <v>72</v>
      </c>
      <c r="BX3" s="257" t="s">
        <v>108</v>
      </c>
      <c r="BY3" s="259" t="s">
        <v>73</v>
      </c>
      <c r="BZ3" s="257" t="s">
        <v>109</v>
      </c>
      <c r="CA3" s="259" t="s">
        <v>74</v>
      </c>
      <c r="CB3" s="257" t="s">
        <v>110</v>
      </c>
      <c r="CC3" s="259" t="s">
        <v>75</v>
      </c>
      <c r="CD3" s="257" t="s">
        <v>111</v>
      </c>
      <c r="CE3" s="259" t="s">
        <v>0</v>
      </c>
      <c r="CF3" s="257" t="s">
        <v>112</v>
      </c>
      <c r="CG3" s="259" t="s">
        <v>1</v>
      </c>
      <c r="CH3" s="257" t="s">
        <v>113</v>
      </c>
      <c r="CI3" s="259" t="s">
        <v>128</v>
      </c>
      <c r="CJ3" s="257" t="s">
        <v>129</v>
      </c>
      <c r="CK3" s="259" t="s">
        <v>76</v>
      </c>
      <c r="CL3" s="257" t="s">
        <v>114</v>
      </c>
      <c r="CM3" s="259" t="s">
        <v>77</v>
      </c>
      <c r="CN3" s="257" t="s">
        <v>115</v>
      </c>
      <c r="CO3" s="259" t="s">
        <v>2</v>
      </c>
      <c r="CP3" s="257" t="s">
        <v>116</v>
      </c>
      <c r="CQ3" s="259" t="s">
        <v>3</v>
      </c>
      <c r="CR3" s="257" t="s">
        <v>117</v>
      </c>
      <c r="CS3" s="259" t="s">
        <v>6</v>
      </c>
      <c r="CT3" s="257" t="s">
        <v>118</v>
      </c>
      <c r="CU3" s="259" t="s">
        <v>7</v>
      </c>
      <c r="CV3" s="257" t="s">
        <v>119</v>
      </c>
      <c r="CW3" s="261" t="s">
        <v>78</v>
      </c>
      <c r="CX3" s="255" t="s">
        <v>120</v>
      </c>
      <c r="CY3" s="40"/>
      <c r="CZ3" s="40"/>
      <c r="DA3" s="40"/>
      <c r="DB3" s="40"/>
    </row>
    <row r="4" spans="1:154" s="1" customFormat="1" ht="20.5" customHeight="1" x14ac:dyDescent="0.3">
      <c r="A4" s="34"/>
      <c r="B4" s="285"/>
      <c r="C4" s="283"/>
      <c r="D4" s="281"/>
      <c r="E4" s="225">
        <v>1000</v>
      </c>
      <c r="F4" s="281"/>
      <c r="G4" s="225"/>
      <c r="H4" s="223" t="s">
        <v>131</v>
      </c>
      <c r="I4" s="64" t="s">
        <v>132</v>
      </c>
      <c r="J4" s="232" t="s">
        <v>133</v>
      </c>
      <c r="K4" s="242" t="s">
        <v>134</v>
      </c>
      <c r="L4" s="24"/>
      <c r="M4" s="279"/>
      <c r="N4" s="272"/>
      <c r="O4" s="91" t="s">
        <v>131</v>
      </c>
      <c r="P4" s="91" t="s">
        <v>132</v>
      </c>
      <c r="Q4" s="232" t="s">
        <v>133</v>
      </c>
      <c r="R4" s="232" t="s">
        <v>134</v>
      </c>
      <c r="S4" s="272"/>
      <c r="T4" s="274"/>
      <c r="U4" s="41"/>
      <c r="V4" s="109"/>
      <c r="W4" s="103"/>
      <c r="X4" s="247"/>
      <c r="Y4" s="103"/>
      <c r="Z4" s="247"/>
      <c r="AA4" s="103"/>
      <c r="AB4" s="247"/>
      <c r="AC4" s="103"/>
      <c r="AD4" s="247"/>
      <c r="AE4" s="103"/>
      <c r="AF4" s="103"/>
      <c r="AG4" s="111"/>
      <c r="AH4" s="276"/>
      <c r="AI4" s="260"/>
      <c r="AJ4" s="258"/>
      <c r="AK4" s="260"/>
      <c r="AL4" s="258"/>
      <c r="AM4" s="260"/>
      <c r="AN4" s="258"/>
      <c r="AO4" s="260"/>
      <c r="AP4" s="258"/>
      <c r="AQ4" s="260"/>
      <c r="AR4" s="258"/>
      <c r="AS4" s="260"/>
      <c r="AT4" s="258"/>
      <c r="AU4" s="260"/>
      <c r="AV4" s="258"/>
      <c r="AW4" s="270"/>
      <c r="AX4" s="268"/>
      <c r="AY4" s="270"/>
      <c r="AZ4" s="268"/>
      <c r="BA4" s="270"/>
      <c r="BB4" s="268"/>
      <c r="BC4" s="270"/>
      <c r="BD4" s="268"/>
      <c r="BE4" s="270"/>
      <c r="BF4" s="268"/>
      <c r="BG4" s="270"/>
      <c r="BH4" s="268"/>
      <c r="BI4" s="270"/>
      <c r="BJ4" s="268"/>
      <c r="BK4" s="270"/>
      <c r="BL4" s="268"/>
      <c r="BM4" s="270"/>
      <c r="BN4" s="268"/>
      <c r="BO4" s="260"/>
      <c r="BP4" s="258"/>
      <c r="BQ4" s="260"/>
      <c r="BR4" s="258"/>
      <c r="BS4" s="260"/>
      <c r="BT4" s="258"/>
      <c r="BU4" s="264"/>
      <c r="BV4" s="266"/>
      <c r="BW4" s="260"/>
      <c r="BX4" s="258"/>
      <c r="BY4" s="260"/>
      <c r="BZ4" s="258"/>
      <c r="CA4" s="260"/>
      <c r="CB4" s="258"/>
      <c r="CC4" s="260"/>
      <c r="CD4" s="258"/>
      <c r="CE4" s="260"/>
      <c r="CF4" s="258"/>
      <c r="CG4" s="260"/>
      <c r="CH4" s="258"/>
      <c r="CI4" s="260"/>
      <c r="CJ4" s="258"/>
      <c r="CK4" s="260"/>
      <c r="CL4" s="258"/>
      <c r="CM4" s="260"/>
      <c r="CN4" s="258"/>
      <c r="CO4" s="260"/>
      <c r="CP4" s="258"/>
      <c r="CQ4" s="260"/>
      <c r="CR4" s="258"/>
      <c r="CS4" s="260"/>
      <c r="CT4" s="258"/>
      <c r="CU4" s="260"/>
      <c r="CV4" s="258"/>
      <c r="CW4" s="262"/>
      <c r="CX4" s="256"/>
      <c r="CY4" s="34"/>
      <c r="CZ4" s="34"/>
      <c r="DA4" s="34"/>
      <c r="DB4" s="34"/>
      <c r="DC4" s="140"/>
      <c r="DD4" s="140"/>
      <c r="DE4" s="140"/>
      <c r="DF4" s="140"/>
      <c r="DG4" s="140"/>
      <c r="DH4" s="140"/>
      <c r="DI4" s="140"/>
      <c r="DJ4" s="140"/>
      <c r="DK4" s="140"/>
      <c r="DL4" s="140"/>
      <c r="DM4" s="140"/>
      <c r="DN4" s="140"/>
      <c r="DO4" s="140"/>
      <c r="DP4" s="140"/>
      <c r="DQ4" s="140"/>
      <c r="DR4" s="140"/>
      <c r="DS4" s="140"/>
      <c r="DT4" s="140"/>
      <c r="DU4" s="140"/>
      <c r="DV4" s="140"/>
      <c r="DW4" s="140"/>
      <c r="DX4" s="140"/>
      <c r="DY4" s="140"/>
      <c r="DZ4" s="140"/>
      <c r="EA4" s="140"/>
      <c r="EB4" s="140"/>
      <c r="EC4" s="140"/>
      <c r="ED4" s="140"/>
      <c r="EE4" s="140"/>
      <c r="EF4" s="140"/>
      <c r="EG4" s="140"/>
      <c r="EH4" s="140"/>
      <c r="EI4" s="140"/>
      <c r="EJ4" s="140"/>
      <c r="EK4" s="140"/>
      <c r="EL4" s="140"/>
      <c r="EM4" s="140"/>
      <c r="EN4" s="140"/>
      <c r="EO4" s="140"/>
      <c r="EP4" s="140"/>
      <c r="EQ4" s="140"/>
      <c r="ER4" s="140"/>
      <c r="ES4" s="140"/>
      <c r="ET4" s="140"/>
      <c r="EU4" s="140"/>
      <c r="EV4" s="140"/>
      <c r="EW4" s="140"/>
      <c r="EX4" s="140"/>
    </row>
    <row r="5" spans="1:154" s="34" customFormat="1" x14ac:dyDescent="0.3">
      <c r="B5" s="61">
        <v>60000</v>
      </c>
      <c r="C5" s="56">
        <f t="shared" ref="C5:C41" si="0">F5*B5%</f>
        <v>0</v>
      </c>
      <c r="D5" s="76" t="s">
        <v>8</v>
      </c>
      <c r="E5" s="77">
        <f>F5*$E$4%</f>
        <v>0</v>
      </c>
      <c r="F5" s="86">
        <v>0</v>
      </c>
      <c r="G5" s="86"/>
      <c r="H5" s="98"/>
      <c r="I5" s="99"/>
      <c r="J5" s="228">
        <f>IF((H5)="",0,(H5))</f>
        <v>0</v>
      </c>
      <c r="K5" s="226">
        <f>IF((I5)="",100,(I5))</f>
        <v>100</v>
      </c>
      <c r="L5" s="24"/>
      <c r="M5" s="83" t="s">
        <v>40</v>
      </c>
      <c r="N5" s="65" t="s">
        <v>41</v>
      </c>
      <c r="O5" s="95"/>
      <c r="P5" s="95"/>
      <c r="Q5" s="233">
        <f>IF((O5)="",0,(O5))</f>
        <v>0</v>
      </c>
      <c r="R5" s="233">
        <f>IF((P5)="",10000,(P5))</f>
        <v>10000</v>
      </c>
      <c r="S5" s="65"/>
      <c r="T5" s="67">
        <f>SUM(AJ5:AJ41)</f>
        <v>2242.0429370182951</v>
      </c>
      <c r="U5" s="41"/>
      <c r="V5" s="112"/>
      <c r="W5" s="122" t="s">
        <v>135</v>
      </c>
      <c r="X5" s="248"/>
      <c r="Y5" s="122" t="s">
        <v>136</v>
      </c>
      <c r="Z5" s="248"/>
      <c r="AA5" s="122" t="s">
        <v>137</v>
      </c>
      <c r="AB5" s="248"/>
      <c r="AC5" s="122" t="s">
        <v>138</v>
      </c>
      <c r="AD5" s="248"/>
      <c r="AE5" s="122" t="s">
        <v>139</v>
      </c>
      <c r="AF5" s="115"/>
      <c r="AG5" s="24"/>
      <c r="AH5" s="59" t="s">
        <v>8</v>
      </c>
      <c r="AI5" s="31">
        <v>3600</v>
      </c>
      <c r="AJ5" s="25">
        <f t="shared" ref="AJ5:AJ36" si="1">F5*AI5%</f>
        <v>0</v>
      </c>
      <c r="AK5" s="26">
        <v>51.892000000000003</v>
      </c>
      <c r="AL5" s="27">
        <f t="shared" ref="AL5:AL36" si="2">F5*AK5%</f>
        <v>0</v>
      </c>
      <c r="AM5" s="26">
        <v>13.831</v>
      </c>
      <c r="AN5" s="28">
        <f t="shared" ref="AN5:AN41" si="3">F5*AM5%</f>
        <v>0</v>
      </c>
      <c r="AO5" s="26">
        <v>13.831</v>
      </c>
      <c r="AP5" s="29">
        <f t="shared" ref="AP5:AP41" si="4">F5*AO5%</f>
        <v>0</v>
      </c>
      <c r="AQ5" s="26">
        <v>0</v>
      </c>
      <c r="AR5" s="29">
        <f t="shared" ref="AR5:AR41" si="5">F5*AQ5%</f>
        <v>0</v>
      </c>
      <c r="AS5" s="26">
        <v>0</v>
      </c>
      <c r="AT5" s="29">
        <f t="shared" ref="AT5:AT41" si="6">F5*AS5%</f>
        <v>0</v>
      </c>
      <c r="AU5" s="26">
        <v>15.840999999999999</v>
      </c>
      <c r="AV5" s="29">
        <f t="shared" ref="AV5:AV41" si="7">F5*AU5%</f>
        <v>0</v>
      </c>
      <c r="AW5" s="26">
        <f>AK5*0.107-2.35</f>
        <v>3.2024440000000003</v>
      </c>
      <c r="AX5" s="30">
        <f t="shared" ref="AX5:AX41" si="8">F5*AW5%</f>
        <v>0</v>
      </c>
      <c r="AY5" s="26">
        <f>AK5*0.038-0.767</f>
        <v>1.2048960000000002</v>
      </c>
      <c r="AZ5" s="30">
        <f t="shared" ref="AZ5:AZ41" si="9">F5*AY5%</f>
        <v>0</v>
      </c>
      <c r="BA5" s="26">
        <f>AK5*0.049-0.935</f>
        <v>1.6077080000000001</v>
      </c>
      <c r="BB5" s="30">
        <f t="shared" ref="BB5:BB41" si="10">F5*BA5%</f>
        <v>0</v>
      </c>
      <c r="BC5" s="26">
        <f>AK5*0.049-0.643</f>
        <v>1.8997080000000002</v>
      </c>
      <c r="BD5" s="30">
        <f t="shared" ref="BD5:BD41" si="11">F5*BC5%</f>
        <v>0</v>
      </c>
      <c r="BE5" s="26">
        <f>AK5*0.016-0.374</f>
        <v>0.45627200000000001</v>
      </c>
      <c r="BF5" s="30">
        <f t="shared" ref="BF5:BF41" si="12">F5*BE5%</f>
        <v>0</v>
      </c>
      <c r="BG5" s="26">
        <f>AK5*0.056+0.109</f>
        <v>3.0149520000000001</v>
      </c>
      <c r="BH5" s="30">
        <f t="shared" ref="BH5:BH41" si="13">F5*BG5%</f>
        <v>0</v>
      </c>
      <c r="BI5" s="26">
        <f>AK5*0.053-0.944</f>
        <v>1.806276</v>
      </c>
      <c r="BJ5" s="30">
        <f t="shared" ref="BJ5:BJ41" si="14">F5*BI5%</f>
        <v>0</v>
      </c>
      <c r="BK5" s="26">
        <f>AK5*0.093-1.616</f>
        <v>3.2099560000000005</v>
      </c>
      <c r="BL5" s="30">
        <f t="shared" ref="BL5:BL41" si="15">F5*BK5%</f>
        <v>0</v>
      </c>
      <c r="BM5" s="26">
        <f>AK5*0.059-0.874</f>
        <v>2.1876280000000001</v>
      </c>
      <c r="BN5" s="30">
        <f t="shared" ref="BN5:BN41" si="16">F5*BM5%</f>
        <v>0</v>
      </c>
      <c r="BO5" s="26">
        <v>5.54</v>
      </c>
      <c r="BP5" s="30">
        <f t="shared" ref="BP5:BP41" si="17">F5*BO5%</f>
        <v>0</v>
      </c>
      <c r="BQ5" s="26">
        <v>2.4771999999999998</v>
      </c>
      <c r="BR5" s="30">
        <f t="shared" ref="BR5:BR41" si="18">F5*BQ5%</f>
        <v>0</v>
      </c>
      <c r="BS5" s="26">
        <f>BQ5*0.952</f>
        <v>2.3582943999999997</v>
      </c>
      <c r="BT5" s="30">
        <f t="shared" ref="BT5:BT36" si="19">F5*BS5%</f>
        <v>0</v>
      </c>
      <c r="BU5" s="26">
        <v>0.23</v>
      </c>
      <c r="BV5" s="30">
        <f t="shared" ref="BV5:BV41" si="20">F5*BU5%</f>
        <v>0</v>
      </c>
      <c r="BW5" s="26">
        <v>1.35</v>
      </c>
      <c r="BX5" s="30">
        <f t="shared" ref="BX5:BX41" si="21">F5*BW5%</f>
        <v>0</v>
      </c>
      <c r="BY5" s="26">
        <v>0.74</v>
      </c>
      <c r="BZ5" s="30">
        <f t="shared" ref="BZ5:BZ41" si="22">F5*BY5%</f>
        <v>0</v>
      </c>
      <c r="CA5" s="26">
        <v>1.63</v>
      </c>
      <c r="CB5" s="30">
        <f t="shared" ref="CB5:CB41" si="23">F5*CA5%</f>
        <v>0</v>
      </c>
      <c r="CC5" s="26">
        <v>0.74</v>
      </c>
      <c r="CD5" s="29">
        <f t="shared" ref="CD5:CD41" si="24">F5*CC5%</f>
        <v>0</v>
      </c>
      <c r="CE5" s="31">
        <f t="shared" ref="CE5:CE23" si="25">(BW5*435)+(BY5*256)-(CA5*282)</f>
        <v>317.03000000000009</v>
      </c>
      <c r="CF5" s="29">
        <f t="shared" ref="CF5:CF41" si="26">F5*CE5%</f>
        <v>0</v>
      </c>
      <c r="CG5" s="26">
        <v>4.16</v>
      </c>
      <c r="CH5" s="30">
        <f t="shared" ref="CH5:CH41" si="27">F5*CG5%</f>
        <v>0</v>
      </c>
      <c r="CI5" s="26">
        <f>AO5*0.021</f>
        <v>0.29045100000000001</v>
      </c>
      <c r="CJ5" s="29">
        <f t="shared" ref="CJ5:CJ41" si="28">F5*CI5%</f>
        <v>0</v>
      </c>
      <c r="CK5" s="26">
        <v>0.23</v>
      </c>
      <c r="CL5" s="29">
        <f t="shared" ref="CL5:CL41" si="29">F5*CK5%</f>
        <v>0</v>
      </c>
      <c r="CM5" s="26">
        <v>1.25</v>
      </c>
      <c r="CN5" s="29">
        <f t="shared" ref="CN5:CN41" si="30">F5*CM5%</f>
        <v>0</v>
      </c>
      <c r="CO5" s="26">
        <v>0</v>
      </c>
      <c r="CP5" s="29">
        <f t="shared" ref="CP5:CP41" si="31">F5*CO5%</f>
        <v>0</v>
      </c>
      <c r="CQ5" s="26">
        <v>0</v>
      </c>
      <c r="CR5" s="29">
        <f t="shared" ref="CR5:CR41" si="32">F5*CQ5%</f>
        <v>0</v>
      </c>
      <c r="CS5" s="26">
        <v>0</v>
      </c>
      <c r="CT5" s="29">
        <f t="shared" ref="CT5:CT41" si="33">F5*CS5%</f>
        <v>0</v>
      </c>
      <c r="CU5" s="26">
        <f t="shared" ref="CU5:CU12" si="34">CW5-(AK5+AO5+AS5+AU5)</f>
        <v>10.25500000000001</v>
      </c>
      <c r="CV5" s="29">
        <f t="shared" ref="CV5:CV41" si="35">F5*CU5%</f>
        <v>0</v>
      </c>
      <c r="CW5" s="32">
        <v>91.819000000000003</v>
      </c>
      <c r="CX5" s="33">
        <f t="shared" ref="CX5:CX41" si="36">F5*CW5%</f>
        <v>0</v>
      </c>
      <c r="DC5" s="140"/>
      <c r="DD5" s="140"/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0"/>
      <c r="DY5" s="140"/>
      <c r="DZ5" s="140"/>
      <c r="EA5" s="140"/>
      <c r="EB5" s="140"/>
      <c r="EC5" s="140"/>
      <c r="ED5" s="140"/>
      <c r="EE5" s="140"/>
      <c r="EF5" s="140"/>
      <c r="EG5" s="140"/>
      <c r="EH5" s="140"/>
      <c r="EI5" s="140"/>
      <c r="EJ5" s="140"/>
      <c r="EK5" s="140"/>
      <c r="EL5" s="140"/>
      <c r="EM5" s="140"/>
      <c r="EN5" s="140"/>
      <c r="EO5" s="140"/>
      <c r="EP5" s="140"/>
      <c r="EQ5" s="140"/>
      <c r="ER5" s="140"/>
      <c r="ES5" s="140"/>
      <c r="ET5" s="140"/>
      <c r="EU5" s="140"/>
      <c r="EV5" s="140"/>
      <c r="EW5" s="140"/>
      <c r="EX5" s="140"/>
    </row>
    <row r="6" spans="1:154" s="1" customFormat="1" x14ac:dyDescent="0.3">
      <c r="A6" s="34"/>
      <c r="B6" s="62">
        <v>70000</v>
      </c>
      <c r="C6" s="55">
        <f t="shared" si="0"/>
        <v>0</v>
      </c>
      <c r="D6" s="78" t="s">
        <v>9</v>
      </c>
      <c r="E6" s="79">
        <f t="shared" ref="E6:E41" si="37">F6*$E$4%</f>
        <v>0</v>
      </c>
      <c r="F6" s="87">
        <v>0</v>
      </c>
      <c r="G6" s="87"/>
      <c r="H6" s="100"/>
      <c r="I6" s="101"/>
      <c r="J6" s="228">
        <f t="shared" ref="J6:J41" si="38">IF((H6)="",0,(H6))</f>
        <v>0</v>
      </c>
      <c r="K6" s="226">
        <f t="shared" ref="K6:K41" si="39">IF((I6)="",100,(I6))</f>
        <v>100</v>
      </c>
      <c r="L6" s="24"/>
      <c r="M6" s="84" t="s">
        <v>42</v>
      </c>
      <c r="N6" s="66" t="s">
        <v>43</v>
      </c>
      <c r="O6" s="119"/>
      <c r="P6" s="96"/>
      <c r="Q6" s="234">
        <f t="shared" ref="Q6:Q27" si="40">IF((O6)="",0,(O6))</f>
        <v>0</v>
      </c>
      <c r="R6" s="234">
        <f t="shared" ref="R6:R27" si="41">IF((P6)="",1000,(P6))</f>
        <v>1000</v>
      </c>
      <c r="S6" s="66"/>
      <c r="T6" s="68">
        <f>SUM(AL5:AL41)</f>
        <v>25.082934656827415</v>
      </c>
      <c r="U6" s="41"/>
      <c r="V6" s="113"/>
      <c r="W6" s="119">
        <v>35</v>
      </c>
      <c r="X6" s="249"/>
      <c r="Y6" s="119">
        <v>30</v>
      </c>
      <c r="Z6" s="249"/>
      <c r="AA6" s="119">
        <v>28</v>
      </c>
      <c r="AB6" s="249"/>
      <c r="AC6" s="119">
        <v>26</v>
      </c>
      <c r="AD6" s="249"/>
      <c r="AE6" s="119">
        <v>37</v>
      </c>
      <c r="AF6" s="116"/>
      <c r="AG6" s="24"/>
      <c r="AH6" s="60" t="s">
        <v>9</v>
      </c>
      <c r="AI6" s="21">
        <v>3630</v>
      </c>
      <c r="AJ6" s="6">
        <f t="shared" si="1"/>
        <v>0</v>
      </c>
      <c r="AK6" s="10">
        <v>61.232999999999997</v>
      </c>
      <c r="AL6" s="7">
        <f t="shared" si="2"/>
        <v>0</v>
      </c>
      <c r="AM6" s="10">
        <v>9.6690000000000005</v>
      </c>
      <c r="AN6" s="13">
        <f t="shared" si="3"/>
        <v>0</v>
      </c>
      <c r="AO6" s="10">
        <v>9.6690000000000005</v>
      </c>
      <c r="AP6" s="14">
        <f t="shared" si="4"/>
        <v>0</v>
      </c>
      <c r="AQ6" s="10">
        <v>0</v>
      </c>
      <c r="AR6" s="14">
        <f t="shared" si="5"/>
        <v>0</v>
      </c>
      <c r="AS6" s="10">
        <v>0</v>
      </c>
      <c r="AT6" s="14">
        <f t="shared" si="6"/>
        <v>0</v>
      </c>
      <c r="AU6" s="10">
        <v>15.555</v>
      </c>
      <c r="AV6" s="14">
        <f t="shared" si="7"/>
        <v>0</v>
      </c>
      <c r="AW6" s="10">
        <f>AK6*0.107-2.35</f>
        <v>4.2019310000000001</v>
      </c>
      <c r="AX6" s="17">
        <f t="shared" si="8"/>
        <v>0</v>
      </c>
      <c r="AY6" s="10">
        <f>AK6*0.038-0.767</f>
        <v>1.5598540000000001</v>
      </c>
      <c r="AZ6" s="17">
        <f t="shared" si="9"/>
        <v>0</v>
      </c>
      <c r="BA6" s="10">
        <f>AK6*0.049-0.935</f>
        <v>2.0654170000000001</v>
      </c>
      <c r="BB6" s="17">
        <f t="shared" si="10"/>
        <v>0</v>
      </c>
      <c r="BC6" s="10">
        <f>AK6*0.049-0.643</f>
        <v>2.3574169999999999</v>
      </c>
      <c r="BD6" s="17">
        <f t="shared" si="11"/>
        <v>0</v>
      </c>
      <c r="BE6" s="10">
        <f>AK6*0.016-0.374</f>
        <v>0.60572799999999993</v>
      </c>
      <c r="BF6" s="17">
        <f t="shared" si="12"/>
        <v>0</v>
      </c>
      <c r="BG6" s="10">
        <f>AK6*0.056+0.109</f>
        <v>3.5380479999999999</v>
      </c>
      <c r="BH6" s="17">
        <f t="shared" si="13"/>
        <v>0</v>
      </c>
      <c r="BI6" s="10">
        <f>AK6*0.053-0.944</f>
        <v>2.3013489999999996</v>
      </c>
      <c r="BJ6" s="17">
        <f t="shared" si="14"/>
        <v>0</v>
      </c>
      <c r="BK6" s="10">
        <f>AK6*0.093-1.616</f>
        <v>4.0786689999999997</v>
      </c>
      <c r="BL6" s="17">
        <f t="shared" si="15"/>
        <v>0</v>
      </c>
      <c r="BM6" s="10">
        <f>AK6*0.059-0.874</f>
        <v>2.7387469999999996</v>
      </c>
      <c r="BN6" s="17">
        <f t="shared" si="16"/>
        <v>0</v>
      </c>
      <c r="BO6" s="10">
        <v>3.85</v>
      </c>
      <c r="BP6" s="17">
        <f t="shared" si="17"/>
        <v>0</v>
      </c>
      <c r="BQ6" s="10">
        <v>2.262</v>
      </c>
      <c r="BR6" s="17">
        <f t="shared" si="18"/>
        <v>0</v>
      </c>
      <c r="BS6" s="10">
        <f>BQ6*0.952</f>
        <v>2.1534239999999998</v>
      </c>
      <c r="BT6" s="17">
        <f t="shared" si="19"/>
        <v>0</v>
      </c>
      <c r="BU6" s="12">
        <v>0.23</v>
      </c>
      <c r="BV6" s="18">
        <f t="shared" si="20"/>
        <v>0</v>
      </c>
      <c r="BW6" s="10">
        <v>1.18</v>
      </c>
      <c r="BX6" s="17">
        <f t="shared" si="21"/>
        <v>0</v>
      </c>
      <c r="BY6" s="10">
        <v>0.97</v>
      </c>
      <c r="BZ6" s="17">
        <f t="shared" si="22"/>
        <v>0</v>
      </c>
      <c r="CA6" s="10">
        <v>1.77</v>
      </c>
      <c r="CB6" s="17">
        <f t="shared" si="23"/>
        <v>0</v>
      </c>
      <c r="CC6" s="10">
        <v>0.71</v>
      </c>
      <c r="CD6" s="14">
        <f t="shared" si="24"/>
        <v>0</v>
      </c>
      <c r="CE6" s="21">
        <f t="shared" si="25"/>
        <v>262.4799999999999</v>
      </c>
      <c r="CF6" s="14">
        <f t="shared" si="26"/>
        <v>0</v>
      </c>
      <c r="CG6" s="10">
        <v>3.7629999999999999</v>
      </c>
      <c r="CH6" s="17">
        <f t="shared" si="27"/>
        <v>0</v>
      </c>
      <c r="CI6" s="10">
        <f>AO6*0.021</f>
        <v>0.20304900000000004</v>
      </c>
      <c r="CJ6" s="14">
        <f t="shared" si="28"/>
        <v>0</v>
      </c>
      <c r="CK6" s="10">
        <v>0.23</v>
      </c>
      <c r="CL6" s="14">
        <f t="shared" si="29"/>
        <v>0</v>
      </c>
      <c r="CM6" s="10">
        <v>1.25</v>
      </c>
      <c r="CN6" s="14">
        <f t="shared" si="30"/>
        <v>0</v>
      </c>
      <c r="CO6" s="10">
        <v>0</v>
      </c>
      <c r="CP6" s="14">
        <f t="shared" si="31"/>
        <v>0</v>
      </c>
      <c r="CQ6" s="10">
        <v>0</v>
      </c>
      <c r="CR6" s="14">
        <f t="shared" si="32"/>
        <v>0</v>
      </c>
      <c r="CS6" s="10">
        <v>0</v>
      </c>
      <c r="CT6" s="14">
        <f t="shared" si="33"/>
        <v>0</v>
      </c>
      <c r="CU6" s="10">
        <f t="shared" si="34"/>
        <v>5.362000000000009</v>
      </c>
      <c r="CV6" s="14">
        <f t="shared" si="35"/>
        <v>0</v>
      </c>
      <c r="CW6" s="11">
        <v>91.819000000000003</v>
      </c>
      <c r="CX6" s="20">
        <f t="shared" si="36"/>
        <v>0</v>
      </c>
      <c r="CY6" s="34"/>
      <c r="CZ6" s="34"/>
      <c r="DA6" s="34"/>
      <c r="DB6" s="34"/>
      <c r="DC6" s="140"/>
      <c r="DD6" s="140"/>
      <c r="DE6" s="140"/>
      <c r="DF6" s="140"/>
      <c r="DG6" s="140"/>
      <c r="DH6" s="140"/>
      <c r="DI6" s="140"/>
      <c r="DJ6" s="140"/>
      <c r="DK6" s="140"/>
      <c r="DL6" s="140"/>
      <c r="DM6" s="140"/>
      <c r="DN6" s="140"/>
      <c r="DO6" s="140"/>
      <c r="DP6" s="140"/>
      <c r="DQ6" s="140"/>
      <c r="DR6" s="140"/>
      <c r="DS6" s="140"/>
      <c r="DT6" s="140"/>
      <c r="DU6" s="140"/>
      <c r="DV6" s="140"/>
      <c r="DW6" s="140"/>
      <c r="DX6" s="140"/>
      <c r="DY6" s="140"/>
      <c r="DZ6" s="140"/>
      <c r="EA6" s="140"/>
      <c r="EB6" s="140"/>
      <c r="EC6" s="140"/>
      <c r="ED6" s="140"/>
      <c r="EE6" s="140"/>
      <c r="EF6" s="140"/>
      <c r="EG6" s="140"/>
      <c r="EH6" s="140"/>
      <c r="EI6" s="140"/>
      <c r="EJ6" s="140"/>
      <c r="EK6" s="140"/>
      <c r="EL6" s="140"/>
      <c r="EM6" s="140"/>
      <c r="EN6" s="140"/>
      <c r="EO6" s="140"/>
      <c r="EP6" s="140"/>
      <c r="EQ6" s="140"/>
      <c r="ER6" s="140"/>
      <c r="ES6" s="140"/>
      <c r="ET6" s="140"/>
      <c r="EU6" s="140"/>
      <c r="EV6" s="140"/>
      <c r="EW6" s="140"/>
      <c r="EX6" s="140"/>
    </row>
    <row r="7" spans="1:154" s="34" customFormat="1" x14ac:dyDescent="0.3">
      <c r="B7" s="61">
        <v>80000</v>
      </c>
      <c r="C7" s="56">
        <f t="shared" si="0"/>
        <v>0</v>
      </c>
      <c r="D7" s="76" t="s">
        <v>10</v>
      </c>
      <c r="E7" s="77">
        <f t="shared" si="37"/>
        <v>0</v>
      </c>
      <c r="F7" s="86">
        <v>0</v>
      </c>
      <c r="G7" s="86"/>
      <c r="H7" s="98"/>
      <c r="I7" s="99"/>
      <c r="J7" s="228">
        <f t="shared" si="38"/>
        <v>0</v>
      </c>
      <c r="K7" s="226">
        <f t="shared" si="39"/>
        <v>100</v>
      </c>
      <c r="L7" s="24"/>
      <c r="M7" s="83" t="s">
        <v>46</v>
      </c>
      <c r="N7" s="65" t="s">
        <v>43</v>
      </c>
      <c r="O7" s="118">
        <v>7</v>
      </c>
      <c r="P7" s="95"/>
      <c r="Q7" s="233">
        <f t="shared" si="40"/>
        <v>7</v>
      </c>
      <c r="R7" s="233">
        <f t="shared" si="41"/>
        <v>1000</v>
      </c>
      <c r="S7" s="65"/>
      <c r="T7" s="69">
        <f>SUM(AN5:AN41)</f>
        <v>6.9999999999999929</v>
      </c>
      <c r="U7" s="41"/>
      <c r="V7" s="113"/>
      <c r="W7" s="118">
        <v>5</v>
      </c>
      <c r="X7" s="249"/>
      <c r="Y7" s="118">
        <v>6</v>
      </c>
      <c r="Z7" s="249"/>
      <c r="AA7" s="118">
        <v>7</v>
      </c>
      <c r="AB7" s="249"/>
      <c r="AC7" s="118">
        <v>8</v>
      </c>
      <c r="AD7" s="249"/>
      <c r="AE7" s="118">
        <v>10</v>
      </c>
      <c r="AF7" s="116"/>
      <c r="AG7" s="24"/>
      <c r="AH7" s="59" t="s">
        <v>10</v>
      </c>
      <c r="AI7" s="31">
        <v>3750</v>
      </c>
      <c r="AJ7" s="25">
        <f t="shared" si="1"/>
        <v>0</v>
      </c>
      <c r="AK7" s="26">
        <v>68.36</v>
      </c>
      <c r="AL7" s="27">
        <f t="shared" si="2"/>
        <v>0</v>
      </c>
      <c r="AM7" s="26">
        <v>7.6630000000000003</v>
      </c>
      <c r="AN7" s="28">
        <f t="shared" si="3"/>
        <v>0</v>
      </c>
      <c r="AO7" s="26">
        <v>7.6630000000000003</v>
      </c>
      <c r="AP7" s="29">
        <f t="shared" si="4"/>
        <v>0</v>
      </c>
      <c r="AQ7" s="26">
        <v>0</v>
      </c>
      <c r="AR7" s="29">
        <f t="shared" si="5"/>
        <v>0</v>
      </c>
      <c r="AS7" s="26">
        <v>0</v>
      </c>
      <c r="AT7" s="29">
        <f t="shared" si="6"/>
        <v>0</v>
      </c>
      <c r="AU7" s="26">
        <v>14.784000000000001</v>
      </c>
      <c r="AV7" s="29">
        <f t="shared" si="7"/>
        <v>0</v>
      </c>
      <c r="AW7" s="26">
        <f>AK7*0.107-2.35</f>
        <v>4.9645200000000003</v>
      </c>
      <c r="AX7" s="30">
        <f t="shared" si="8"/>
        <v>0</v>
      </c>
      <c r="AY7" s="26">
        <f>AK7*0.038-0.767</f>
        <v>1.8306800000000001</v>
      </c>
      <c r="AZ7" s="30">
        <f t="shared" si="9"/>
        <v>0</v>
      </c>
      <c r="BA7" s="26">
        <f>AK7*0.049-0.935</f>
        <v>2.4146399999999999</v>
      </c>
      <c r="BB7" s="30">
        <f t="shared" si="10"/>
        <v>0</v>
      </c>
      <c r="BC7" s="26">
        <f>AK7*0.049-0.643</f>
        <v>2.7066400000000002</v>
      </c>
      <c r="BD7" s="30">
        <f t="shared" si="11"/>
        <v>0</v>
      </c>
      <c r="BE7" s="26">
        <f>AK7*0.016-0.374</f>
        <v>0.71976000000000007</v>
      </c>
      <c r="BF7" s="30">
        <f t="shared" si="12"/>
        <v>0</v>
      </c>
      <c r="BG7" s="26">
        <f>AK7*0.056+0.109</f>
        <v>3.93716</v>
      </c>
      <c r="BH7" s="30">
        <f t="shared" si="13"/>
        <v>0</v>
      </c>
      <c r="BI7" s="26">
        <f>AK7*0.053-0.944</f>
        <v>2.6790799999999999</v>
      </c>
      <c r="BJ7" s="30">
        <f t="shared" si="14"/>
        <v>0</v>
      </c>
      <c r="BK7" s="26">
        <f>AK7*0.093-1.616</f>
        <v>4.7414799999999993</v>
      </c>
      <c r="BL7" s="30">
        <f t="shared" si="15"/>
        <v>0</v>
      </c>
      <c r="BM7" s="26">
        <f>AK7*0.059-0.874</f>
        <v>3.15924</v>
      </c>
      <c r="BN7" s="30">
        <f t="shared" si="16"/>
        <v>0</v>
      </c>
      <c r="BO7" s="26">
        <v>2.41</v>
      </c>
      <c r="BP7" s="30">
        <f t="shared" si="17"/>
        <v>0</v>
      </c>
      <c r="BQ7" s="26">
        <v>2.2970000000000002</v>
      </c>
      <c r="BR7" s="30">
        <f t="shared" si="18"/>
        <v>0</v>
      </c>
      <c r="BS7" s="26">
        <f>BQ7*0.952</f>
        <v>2.186744</v>
      </c>
      <c r="BT7" s="30">
        <f t="shared" si="19"/>
        <v>0</v>
      </c>
      <c r="BU7" s="26">
        <v>0.23</v>
      </c>
      <c r="BV7" s="30">
        <f t="shared" si="20"/>
        <v>0</v>
      </c>
      <c r="BW7" s="26">
        <v>1.02</v>
      </c>
      <c r="BX7" s="30">
        <f t="shared" si="21"/>
        <v>0</v>
      </c>
      <c r="BY7" s="26">
        <v>1.22</v>
      </c>
      <c r="BZ7" s="30">
        <f t="shared" si="22"/>
        <v>0</v>
      </c>
      <c r="CA7" s="26">
        <v>1.51</v>
      </c>
      <c r="CB7" s="30">
        <f t="shared" si="23"/>
        <v>0</v>
      </c>
      <c r="CC7" s="26">
        <v>0.67</v>
      </c>
      <c r="CD7" s="29">
        <f t="shared" si="24"/>
        <v>0</v>
      </c>
      <c r="CE7" s="31">
        <f t="shared" si="25"/>
        <v>330.2</v>
      </c>
      <c r="CF7" s="29">
        <f t="shared" si="26"/>
        <v>0</v>
      </c>
      <c r="CG7" s="26">
        <v>3.7639999999999998</v>
      </c>
      <c r="CH7" s="30">
        <f t="shared" si="27"/>
        <v>0</v>
      </c>
      <c r="CI7" s="26">
        <f>AO7*0.021</f>
        <v>0.16092300000000001</v>
      </c>
      <c r="CJ7" s="29">
        <f t="shared" si="28"/>
        <v>0</v>
      </c>
      <c r="CK7" s="26">
        <v>0.23</v>
      </c>
      <c r="CL7" s="29">
        <f t="shared" si="29"/>
        <v>0</v>
      </c>
      <c r="CM7" s="26">
        <v>1.25</v>
      </c>
      <c r="CN7" s="29">
        <f>F7*CM7%</f>
        <v>0</v>
      </c>
      <c r="CO7" s="26">
        <v>0</v>
      </c>
      <c r="CP7" s="29">
        <f t="shared" si="31"/>
        <v>0</v>
      </c>
      <c r="CQ7" s="26">
        <v>0</v>
      </c>
      <c r="CR7" s="29">
        <f t="shared" si="32"/>
        <v>0</v>
      </c>
      <c r="CS7" s="26">
        <v>0</v>
      </c>
      <c r="CT7" s="29">
        <f t="shared" si="33"/>
        <v>0</v>
      </c>
      <c r="CU7" s="26">
        <f t="shared" si="34"/>
        <v>1.0120000000000005</v>
      </c>
      <c r="CV7" s="29">
        <f t="shared" si="35"/>
        <v>0</v>
      </c>
      <c r="CW7" s="32">
        <v>91.819000000000003</v>
      </c>
      <c r="CX7" s="33">
        <f t="shared" si="36"/>
        <v>0</v>
      </c>
      <c r="DC7" s="140"/>
      <c r="DD7" s="140"/>
      <c r="DE7" s="140"/>
      <c r="DF7" s="140"/>
      <c r="DG7" s="140"/>
      <c r="DH7" s="140"/>
      <c r="DI7" s="140"/>
      <c r="DJ7" s="140"/>
      <c r="DK7" s="140"/>
      <c r="DL7" s="140"/>
      <c r="DM7" s="140"/>
      <c r="DN7" s="140"/>
      <c r="DO7" s="140"/>
      <c r="DP7" s="140"/>
      <c r="DQ7" s="140"/>
      <c r="DR7" s="140"/>
      <c r="DS7" s="140"/>
      <c r="DT7" s="140"/>
      <c r="DU7" s="140"/>
      <c r="DV7" s="140"/>
      <c r="DW7" s="140"/>
      <c r="DX7" s="140"/>
      <c r="DY7" s="140"/>
      <c r="DZ7" s="140"/>
      <c r="EA7" s="140"/>
      <c r="EB7" s="140"/>
      <c r="EC7" s="140"/>
      <c r="ED7" s="140"/>
      <c r="EE7" s="140"/>
      <c r="EF7" s="140"/>
      <c r="EG7" s="140"/>
      <c r="EH7" s="140"/>
      <c r="EI7" s="140"/>
      <c r="EJ7" s="140"/>
      <c r="EK7" s="140"/>
      <c r="EL7" s="140"/>
      <c r="EM7" s="140"/>
      <c r="EN7" s="140"/>
      <c r="EO7" s="140"/>
      <c r="EP7" s="140"/>
      <c r="EQ7" s="140"/>
      <c r="ER7" s="140"/>
      <c r="ES7" s="140"/>
      <c r="ET7" s="140"/>
      <c r="EU7" s="140"/>
      <c r="EV7" s="140"/>
      <c r="EW7" s="140"/>
      <c r="EX7" s="140"/>
    </row>
    <row r="8" spans="1:154" s="1" customFormat="1" x14ac:dyDescent="0.3">
      <c r="A8" s="34"/>
      <c r="B8" s="62">
        <v>18000</v>
      </c>
      <c r="C8" s="55">
        <f t="shared" si="0"/>
        <v>0</v>
      </c>
      <c r="D8" s="78" t="s">
        <v>11</v>
      </c>
      <c r="E8" s="79">
        <f t="shared" si="37"/>
        <v>0</v>
      </c>
      <c r="F8" s="87">
        <v>0</v>
      </c>
      <c r="G8" s="87"/>
      <c r="H8" s="100"/>
      <c r="I8" s="101"/>
      <c r="J8" s="228">
        <f t="shared" si="38"/>
        <v>0</v>
      </c>
      <c r="K8" s="226">
        <f t="shared" si="39"/>
        <v>100</v>
      </c>
      <c r="L8" s="24"/>
      <c r="M8" s="84" t="s">
        <v>140</v>
      </c>
      <c r="N8" s="66" t="s">
        <v>43</v>
      </c>
      <c r="O8" s="119"/>
      <c r="P8" s="96"/>
      <c r="Q8" s="234">
        <f t="shared" si="40"/>
        <v>0</v>
      </c>
      <c r="R8" s="234">
        <f t="shared" si="41"/>
        <v>1000</v>
      </c>
      <c r="S8" s="66"/>
      <c r="T8" s="68">
        <f>SUM(AP5:AP41)</f>
        <v>5.8265902903991424</v>
      </c>
      <c r="U8" s="41"/>
      <c r="V8" s="113"/>
      <c r="W8" s="119"/>
      <c r="X8" s="249"/>
      <c r="Y8" s="119"/>
      <c r="Z8" s="249"/>
      <c r="AA8" s="119"/>
      <c r="AB8" s="249"/>
      <c r="AC8" s="119"/>
      <c r="AD8" s="249"/>
      <c r="AE8" s="119"/>
      <c r="AF8" s="116"/>
      <c r="AG8" s="24"/>
      <c r="AH8" s="60" t="s">
        <v>11</v>
      </c>
      <c r="AI8" s="21">
        <v>3200</v>
      </c>
      <c r="AJ8" s="6">
        <f t="shared" si="1"/>
        <v>0</v>
      </c>
      <c r="AK8" s="10">
        <v>45</v>
      </c>
      <c r="AL8" s="7">
        <f t="shared" si="2"/>
        <v>0</v>
      </c>
      <c r="AM8" s="10">
        <v>8.5</v>
      </c>
      <c r="AN8" s="13">
        <f t="shared" si="3"/>
        <v>0</v>
      </c>
      <c r="AO8" s="10">
        <v>8.5</v>
      </c>
      <c r="AP8" s="14">
        <f t="shared" si="4"/>
        <v>0</v>
      </c>
      <c r="AQ8" s="10">
        <v>0</v>
      </c>
      <c r="AR8" s="14">
        <f t="shared" si="5"/>
        <v>0</v>
      </c>
      <c r="AS8" s="10">
        <v>0</v>
      </c>
      <c r="AT8" s="14">
        <f t="shared" si="6"/>
        <v>0</v>
      </c>
      <c r="AU8" s="10">
        <v>30.55</v>
      </c>
      <c r="AV8" s="14">
        <f t="shared" si="7"/>
        <v>0</v>
      </c>
      <c r="AW8" s="10">
        <f>AK8*0.043404</f>
        <v>1.9531799999999999</v>
      </c>
      <c r="AX8" s="17">
        <f t="shared" si="8"/>
        <v>0</v>
      </c>
      <c r="AY8" s="10">
        <f>AK8*0.01176</f>
        <v>0.5292</v>
      </c>
      <c r="AZ8" s="17">
        <f t="shared" si="9"/>
        <v>0</v>
      </c>
      <c r="BA8" s="10">
        <f>AK8*0.021595</f>
        <v>0.97177499999999994</v>
      </c>
      <c r="BB8" s="17">
        <f t="shared" si="10"/>
        <v>0</v>
      </c>
      <c r="BC8" s="10">
        <f>AK8*0.045-0.703</f>
        <v>1.3220000000000001</v>
      </c>
      <c r="BD8" s="17">
        <f t="shared" si="11"/>
        <v>0</v>
      </c>
      <c r="BE8" s="10">
        <f>AK8*0.005559</f>
        <v>0.25015499999999996</v>
      </c>
      <c r="BF8" s="17">
        <f t="shared" si="12"/>
        <v>0</v>
      </c>
      <c r="BG8" s="10">
        <f>AK8*0.059+0.476</f>
        <v>3.1309999999999998</v>
      </c>
      <c r="BH8" s="17">
        <f t="shared" si="13"/>
        <v>0</v>
      </c>
      <c r="BI8" s="10">
        <f>AK8*0.045-0.882</f>
        <v>1.1429999999999998</v>
      </c>
      <c r="BJ8" s="17">
        <f t="shared" si="14"/>
        <v>0</v>
      </c>
      <c r="BK8" s="10">
        <f>AK8*0.083-1.328</f>
        <v>2.407</v>
      </c>
      <c r="BL8" s="17">
        <f t="shared" si="15"/>
        <v>0</v>
      </c>
      <c r="BM8" s="10">
        <f>AK8*0.061-1.017</f>
        <v>1.7280000000000002</v>
      </c>
      <c r="BN8" s="17">
        <f t="shared" si="16"/>
        <v>0</v>
      </c>
      <c r="BO8" s="10">
        <v>10.19</v>
      </c>
      <c r="BP8" s="17">
        <f t="shared" si="17"/>
        <v>0</v>
      </c>
      <c r="BQ8" s="10">
        <v>4.4320000000000004</v>
      </c>
      <c r="BR8" s="17">
        <f t="shared" si="18"/>
        <v>0</v>
      </c>
      <c r="BS8" s="10">
        <f>BQ8*0.894</f>
        <v>3.9622080000000004</v>
      </c>
      <c r="BT8" s="17">
        <f t="shared" si="19"/>
        <v>0</v>
      </c>
      <c r="BU8" s="12">
        <v>0.23</v>
      </c>
      <c r="BV8" s="18">
        <f t="shared" si="20"/>
        <v>0</v>
      </c>
      <c r="BW8" s="10">
        <v>0.72</v>
      </c>
      <c r="BX8" s="17">
        <f t="shared" si="21"/>
        <v>0</v>
      </c>
      <c r="BY8" s="10">
        <v>0.36</v>
      </c>
      <c r="BZ8" s="17">
        <f t="shared" si="22"/>
        <v>0</v>
      </c>
      <c r="CA8" s="10">
        <v>0.7</v>
      </c>
      <c r="CB8" s="17">
        <f t="shared" si="23"/>
        <v>0</v>
      </c>
      <c r="CC8" s="10">
        <v>0.89</v>
      </c>
      <c r="CD8" s="14">
        <f t="shared" si="24"/>
        <v>0</v>
      </c>
      <c r="CE8" s="21">
        <f t="shared" si="25"/>
        <v>207.96000000000004</v>
      </c>
      <c r="CF8" s="14">
        <f t="shared" si="26"/>
        <v>0</v>
      </c>
      <c r="CG8" s="10">
        <v>2.0739999999999998</v>
      </c>
      <c r="CH8" s="17">
        <f t="shared" si="27"/>
        <v>0</v>
      </c>
      <c r="CI8" s="10">
        <f>AO8*0.036</f>
        <v>0.30599999999999999</v>
      </c>
      <c r="CJ8" s="14">
        <f t="shared" si="28"/>
        <v>0</v>
      </c>
      <c r="CK8" s="10">
        <v>0</v>
      </c>
      <c r="CL8" s="14">
        <f t="shared" si="29"/>
        <v>0</v>
      </c>
      <c r="CM8" s="10">
        <v>0</v>
      </c>
      <c r="CN8" s="14">
        <f t="shared" si="30"/>
        <v>0</v>
      </c>
      <c r="CO8" s="10">
        <v>0</v>
      </c>
      <c r="CP8" s="14">
        <f t="shared" si="31"/>
        <v>0</v>
      </c>
      <c r="CQ8" s="10">
        <v>0</v>
      </c>
      <c r="CR8" s="14">
        <f t="shared" si="32"/>
        <v>0</v>
      </c>
      <c r="CS8" s="10">
        <v>0</v>
      </c>
      <c r="CT8" s="14">
        <f t="shared" si="33"/>
        <v>0</v>
      </c>
      <c r="CU8" s="10">
        <f t="shared" si="34"/>
        <v>6.9500000000000028</v>
      </c>
      <c r="CV8" s="14">
        <f t="shared" si="35"/>
        <v>0</v>
      </c>
      <c r="CW8" s="11">
        <v>91</v>
      </c>
      <c r="CX8" s="20">
        <f t="shared" si="36"/>
        <v>0</v>
      </c>
      <c r="CY8" s="34"/>
      <c r="CZ8" s="34"/>
      <c r="DA8" s="34"/>
      <c r="DB8" s="34"/>
      <c r="DC8" s="140"/>
      <c r="DD8" s="140"/>
      <c r="DE8" s="140"/>
      <c r="DF8" s="140"/>
      <c r="DG8" s="140"/>
      <c r="DH8" s="140"/>
      <c r="DI8" s="140"/>
      <c r="DJ8" s="140"/>
      <c r="DK8" s="140"/>
      <c r="DL8" s="140"/>
      <c r="DM8" s="140"/>
      <c r="DN8" s="140"/>
      <c r="DO8" s="140"/>
      <c r="DP8" s="140"/>
      <c r="DQ8" s="140"/>
      <c r="DR8" s="140"/>
      <c r="DS8" s="140"/>
      <c r="DT8" s="140"/>
      <c r="DU8" s="140"/>
      <c r="DV8" s="140"/>
      <c r="DW8" s="140"/>
      <c r="DX8" s="140"/>
      <c r="DY8" s="140"/>
      <c r="DZ8" s="140"/>
      <c r="EA8" s="140"/>
      <c r="EB8" s="140"/>
      <c r="EC8" s="140"/>
      <c r="ED8" s="140"/>
      <c r="EE8" s="140"/>
      <c r="EF8" s="140"/>
      <c r="EG8" s="140"/>
      <c r="EH8" s="140"/>
      <c r="EI8" s="140"/>
      <c r="EJ8" s="140"/>
      <c r="EK8" s="140"/>
      <c r="EL8" s="140"/>
      <c r="EM8" s="140"/>
      <c r="EN8" s="140"/>
      <c r="EO8" s="140"/>
      <c r="EP8" s="140"/>
      <c r="EQ8" s="140"/>
      <c r="ER8" s="140"/>
      <c r="ES8" s="140"/>
      <c r="ET8" s="140"/>
      <c r="EU8" s="140"/>
      <c r="EV8" s="140"/>
      <c r="EW8" s="140"/>
      <c r="EX8" s="140"/>
    </row>
    <row r="9" spans="1:154" s="34" customFormat="1" x14ac:dyDescent="0.3">
      <c r="B9" s="61">
        <v>18000</v>
      </c>
      <c r="C9" s="56">
        <f t="shared" si="0"/>
        <v>0</v>
      </c>
      <c r="D9" s="76" t="s">
        <v>12</v>
      </c>
      <c r="E9" s="77">
        <f t="shared" si="37"/>
        <v>0</v>
      </c>
      <c r="F9" s="86">
        <v>0</v>
      </c>
      <c r="G9" s="86"/>
      <c r="H9" s="98"/>
      <c r="I9" s="99"/>
      <c r="J9" s="228">
        <f t="shared" si="38"/>
        <v>0</v>
      </c>
      <c r="K9" s="226">
        <f t="shared" si="39"/>
        <v>100</v>
      </c>
      <c r="L9" s="24"/>
      <c r="M9" s="83" t="s">
        <v>44</v>
      </c>
      <c r="N9" s="65" t="s">
        <v>43</v>
      </c>
      <c r="O9" s="118">
        <v>35</v>
      </c>
      <c r="P9" s="95"/>
      <c r="Q9" s="233">
        <f t="shared" si="40"/>
        <v>35</v>
      </c>
      <c r="R9" s="233">
        <f t="shared" si="41"/>
        <v>1000</v>
      </c>
      <c r="S9" s="65"/>
      <c r="T9" s="69">
        <f>SUM(AR5:AR41)</f>
        <v>35.000000000000007</v>
      </c>
      <c r="U9" s="41"/>
      <c r="V9" s="113"/>
      <c r="W9" s="118">
        <v>35</v>
      </c>
      <c r="X9" s="249"/>
      <c r="Y9" s="118">
        <v>40</v>
      </c>
      <c r="Z9" s="249"/>
      <c r="AA9" s="118">
        <v>45</v>
      </c>
      <c r="AB9" s="249"/>
      <c r="AC9" s="118">
        <v>45</v>
      </c>
      <c r="AD9" s="249"/>
      <c r="AE9" s="118">
        <v>12</v>
      </c>
      <c r="AF9" s="116"/>
      <c r="AG9" s="24"/>
      <c r="AH9" s="59" t="s">
        <v>12</v>
      </c>
      <c r="AI9" s="31">
        <v>3200</v>
      </c>
      <c r="AJ9" s="25">
        <f t="shared" si="1"/>
        <v>0</v>
      </c>
      <c r="AK9" s="26">
        <v>48</v>
      </c>
      <c r="AL9" s="27">
        <f t="shared" si="2"/>
        <v>0</v>
      </c>
      <c r="AM9" s="26">
        <v>10.5</v>
      </c>
      <c r="AN9" s="28">
        <f t="shared" si="3"/>
        <v>0</v>
      </c>
      <c r="AO9" s="26">
        <v>10.5</v>
      </c>
      <c r="AP9" s="29">
        <f t="shared" si="4"/>
        <v>0</v>
      </c>
      <c r="AQ9" s="26">
        <v>0</v>
      </c>
      <c r="AR9" s="29">
        <f t="shared" si="5"/>
        <v>0</v>
      </c>
      <c r="AS9" s="26">
        <v>0</v>
      </c>
      <c r="AT9" s="29">
        <f t="shared" si="6"/>
        <v>0</v>
      </c>
      <c r="AU9" s="26">
        <v>20.440000000000001</v>
      </c>
      <c r="AV9" s="29">
        <f t="shared" si="7"/>
        <v>0</v>
      </c>
      <c r="AW9" s="26">
        <f>AK9*0.0477</f>
        <v>2.2896000000000001</v>
      </c>
      <c r="AX9" s="30">
        <f t="shared" si="8"/>
        <v>0</v>
      </c>
      <c r="AY9" s="26">
        <f>AK9*0.013272</f>
        <v>0.63705600000000007</v>
      </c>
      <c r="AZ9" s="30">
        <f t="shared" si="9"/>
        <v>0</v>
      </c>
      <c r="BA9" s="26">
        <f>AK9*0.039-0.784</f>
        <v>1.0879999999999999</v>
      </c>
      <c r="BB9" s="30">
        <f t="shared" si="10"/>
        <v>0</v>
      </c>
      <c r="BC9" s="26">
        <f>AK9*0.047-0.709</f>
        <v>1.5470000000000002</v>
      </c>
      <c r="BD9" s="30">
        <f t="shared" si="11"/>
        <v>0</v>
      </c>
      <c r="BE9" s="26">
        <f>AK9*0.011-0.21</f>
        <v>0.31800000000000006</v>
      </c>
      <c r="BF9" s="30">
        <f t="shared" si="12"/>
        <v>0</v>
      </c>
      <c r="BG9" s="26">
        <f>AK9*0.056+0.539</f>
        <v>3.2270000000000003</v>
      </c>
      <c r="BH9" s="30">
        <f t="shared" si="13"/>
        <v>0</v>
      </c>
      <c r="BI9" s="26">
        <f>AK9*0.05-0.986</f>
        <v>1.4140000000000004</v>
      </c>
      <c r="BJ9" s="30">
        <f t="shared" si="14"/>
        <v>0</v>
      </c>
      <c r="BK9" s="26">
        <f>AK9*0.095-1.626</f>
        <v>2.9340000000000006</v>
      </c>
      <c r="BL9" s="30">
        <f t="shared" si="15"/>
        <v>0</v>
      </c>
      <c r="BM9" s="26">
        <f>AK9*0.076-1.558</f>
        <v>2.09</v>
      </c>
      <c r="BN9" s="30">
        <f t="shared" si="16"/>
        <v>0</v>
      </c>
      <c r="BO9" s="26">
        <v>7.98</v>
      </c>
      <c r="BP9" s="30">
        <f t="shared" si="17"/>
        <v>0</v>
      </c>
      <c r="BQ9" s="26">
        <v>3</v>
      </c>
      <c r="BR9" s="30">
        <f t="shared" si="18"/>
        <v>0</v>
      </c>
      <c r="BS9" s="26">
        <f>BQ9*0.894</f>
        <v>2.6819999999999999</v>
      </c>
      <c r="BT9" s="30">
        <f t="shared" si="19"/>
        <v>0</v>
      </c>
      <c r="BU9" s="26">
        <v>0.2</v>
      </c>
      <c r="BV9" s="30">
        <f t="shared" si="20"/>
        <v>0</v>
      </c>
      <c r="BW9" s="26">
        <v>0.65</v>
      </c>
      <c r="BX9" s="30">
        <f t="shared" si="21"/>
        <v>0</v>
      </c>
      <c r="BY9" s="26">
        <v>0.46</v>
      </c>
      <c r="BZ9" s="30">
        <f t="shared" si="22"/>
        <v>0</v>
      </c>
      <c r="CA9" s="26">
        <v>0.9</v>
      </c>
      <c r="CB9" s="30">
        <f t="shared" si="23"/>
        <v>0</v>
      </c>
      <c r="CC9" s="26">
        <v>0.89</v>
      </c>
      <c r="CD9" s="29">
        <f t="shared" si="24"/>
        <v>0</v>
      </c>
      <c r="CE9" s="31">
        <f t="shared" si="25"/>
        <v>146.70999999999998</v>
      </c>
      <c r="CF9" s="29">
        <f t="shared" si="26"/>
        <v>0</v>
      </c>
      <c r="CG9" s="26">
        <v>2.2000000000000002</v>
      </c>
      <c r="CH9" s="30">
        <f t="shared" si="27"/>
        <v>0</v>
      </c>
      <c r="CI9" s="26">
        <f>AO9*0.036</f>
        <v>0.37799999999999995</v>
      </c>
      <c r="CJ9" s="29">
        <f t="shared" si="28"/>
        <v>0</v>
      </c>
      <c r="CK9" s="26">
        <v>0</v>
      </c>
      <c r="CL9" s="29">
        <f t="shared" si="29"/>
        <v>0</v>
      </c>
      <c r="CM9" s="26">
        <v>0</v>
      </c>
      <c r="CN9" s="29">
        <f t="shared" si="30"/>
        <v>0</v>
      </c>
      <c r="CO9" s="26">
        <v>0</v>
      </c>
      <c r="CP9" s="29">
        <f t="shared" si="31"/>
        <v>0</v>
      </c>
      <c r="CQ9" s="26">
        <v>0</v>
      </c>
      <c r="CR9" s="29">
        <f t="shared" si="32"/>
        <v>0</v>
      </c>
      <c r="CS9" s="26">
        <v>0</v>
      </c>
      <c r="CT9" s="29">
        <f t="shared" si="33"/>
        <v>0</v>
      </c>
      <c r="CU9" s="26">
        <f t="shared" si="34"/>
        <v>12.060000000000002</v>
      </c>
      <c r="CV9" s="29">
        <f t="shared" si="35"/>
        <v>0</v>
      </c>
      <c r="CW9" s="32">
        <v>91</v>
      </c>
      <c r="CX9" s="33">
        <f t="shared" si="36"/>
        <v>0</v>
      </c>
      <c r="DC9" s="140"/>
      <c r="DD9" s="140"/>
      <c r="DE9" s="140"/>
      <c r="DF9" s="140"/>
      <c r="DG9" s="140"/>
      <c r="DH9" s="140"/>
      <c r="DI9" s="140"/>
      <c r="DJ9" s="140"/>
      <c r="DK9" s="140"/>
      <c r="DL9" s="140"/>
      <c r="DM9" s="140"/>
      <c r="DN9" s="140"/>
      <c r="DO9" s="140"/>
      <c r="DP9" s="140"/>
      <c r="DQ9" s="140"/>
      <c r="DR9" s="140"/>
      <c r="DS9" s="140"/>
      <c r="DT9" s="140"/>
      <c r="DU9" s="140"/>
      <c r="DV9" s="140"/>
      <c r="DW9" s="140"/>
      <c r="DX9" s="140"/>
      <c r="DY9" s="140"/>
      <c r="DZ9" s="140"/>
      <c r="EA9" s="140"/>
      <c r="EB9" s="140"/>
      <c r="EC9" s="140"/>
      <c r="ED9" s="140"/>
      <c r="EE9" s="140"/>
      <c r="EF9" s="140"/>
      <c r="EG9" s="140"/>
      <c r="EH9" s="140"/>
      <c r="EI9" s="140"/>
      <c r="EJ9" s="140"/>
      <c r="EK9" s="140"/>
      <c r="EL9" s="140"/>
      <c r="EM9" s="140"/>
      <c r="EN9" s="140"/>
      <c r="EO9" s="140"/>
      <c r="EP9" s="140"/>
      <c r="EQ9" s="140"/>
      <c r="ER9" s="140"/>
      <c r="ES9" s="140"/>
      <c r="ET9" s="140"/>
      <c r="EU9" s="140"/>
      <c r="EV9" s="140"/>
      <c r="EW9" s="140"/>
      <c r="EX9" s="140"/>
    </row>
    <row r="10" spans="1:154" s="34" customFormat="1" x14ac:dyDescent="0.3">
      <c r="B10" s="131">
        <v>20000</v>
      </c>
      <c r="C10" s="132">
        <f t="shared" si="0"/>
        <v>0</v>
      </c>
      <c r="D10" s="133" t="s">
        <v>13</v>
      </c>
      <c r="E10" s="134">
        <f t="shared" si="37"/>
        <v>0</v>
      </c>
      <c r="F10" s="135">
        <v>0</v>
      </c>
      <c r="G10" s="135"/>
      <c r="H10" s="136"/>
      <c r="I10" s="137">
        <v>0</v>
      </c>
      <c r="J10" s="228">
        <f t="shared" si="38"/>
        <v>0</v>
      </c>
      <c r="K10" s="226">
        <f t="shared" si="39"/>
        <v>0</v>
      </c>
      <c r="L10" s="24"/>
      <c r="M10" s="84" t="s">
        <v>45</v>
      </c>
      <c r="N10" s="66" t="s">
        <v>43</v>
      </c>
      <c r="O10" s="120"/>
      <c r="P10" s="96">
        <v>6</v>
      </c>
      <c r="Q10" s="234">
        <f t="shared" si="40"/>
        <v>0</v>
      </c>
      <c r="R10" s="234">
        <f t="shared" si="41"/>
        <v>6</v>
      </c>
      <c r="S10" s="66"/>
      <c r="T10" s="68">
        <f>SUM(AT5:AT41)</f>
        <v>2.4382913000496114</v>
      </c>
      <c r="U10" s="41"/>
      <c r="V10" s="113"/>
      <c r="W10" s="120">
        <v>6</v>
      </c>
      <c r="X10" s="250"/>
      <c r="Y10" s="120">
        <v>7</v>
      </c>
      <c r="Z10" s="250"/>
      <c r="AA10" s="120">
        <v>8</v>
      </c>
      <c r="AB10" s="250"/>
      <c r="AC10" s="120">
        <v>8</v>
      </c>
      <c r="AD10" s="250"/>
      <c r="AE10" s="120">
        <v>2</v>
      </c>
      <c r="AF10" s="116"/>
      <c r="AG10" s="24"/>
      <c r="AH10" s="60" t="s">
        <v>13</v>
      </c>
      <c r="AI10" s="21">
        <v>4300</v>
      </c>
      <c r="AJ10" s="6">
        <f t="shared" si="1"/>
        <v>0</v>
      </c>
      <c r="AK10" s="10">
        <v>89.11</v>
      </c>
      <c r="AL10" s="7">
        <f t="shared" si="2"/>
        <v>0</v>
      </c>
      <c r="AM10" s="10">
        <v>1.3</v>
      </c>
      <c r="AN10" s="13">
        <f t="shared" si="3"/>
        <v>0</v>
      </c>
      <c r="AO10" s="10">
        <v>1.3</v>
      </c>
      <c r="AP10" s="14">
        <f t="shared" si="4"/>
        <v>0</v>
      </c>
      <c r="AQ10" s="10">
        <v>0</v>
      </c>
      <c r="AR10" s="14">
        <f t="shared" si="5"/>
        <v>0</v>
      </c>
      <c r="AS10" s="10">
        <v>0</v>
      </c>
      <c r="AT10" s="14">
        <f t="shared" si="6"/>
        <v>0</v>
      </c>
      <c r="AU10" s="10">
        <v>2.1219999999999999</v>
      </c>
      <c r="AV10" s="14">
        <f t="shared" si="7"/>
        <v>0</v>
      </c>
      <c r="AW10" s="10">
        <f>AK10*0.0874</f>
        <v>7.7882140000000009</v>
      </c>
      <c r="AX10" s="17">
        <f t="shared" si="8"/>
        <v>0</v>
      </c>
      <c r="AY10" s="10">
        <f>AK10*0.011</f>
        <v>0.98020999999999991</v>
      </c>
      <c r="AZ10" s="17">
        <f t="shared" si="9"/>
        <v>0</v>
      </c>
      <c r="BA10" s="10">
        <f>AK10*0.0208</f>
        <v>1.8534879999999998</v>
      </c>
      <c r="BB10" s="17">
        <f t="shared" si="10"/>
        <v>0</v>
      </c>
      <c r="BC10" s="10">
        <f>AK10*0.0421</f>
        <v>3.7515309999999999</v>
      </c>
      <c r="BD10" s="17">
        <f t="shared" si="11"/>
        <v>0</v>
      </c>
      <c r="BE10" s="10">
        <f>AK10*0.02-0.297</f>
        <v>1.4852000000000001</v>
      </c>
      <c r="BF10" s="17">
        <f t="shared" si="12"/>
        <v>0</v>
      </c>
      <c r="BG10" s="10">
        <f>AK10*0.0438</f>
        <v>3.9030179999999999</v>
      </c>
      <c r="BH10" s="17">
        <f t="shared" si="13"/>
        <v>0</v>
      </c>
      <c r="BI10" s="10">
        <f>AK10*0.0153</f>
        <v>1.363383</v>
      </c>
      <c r="BJ10" s="17">
        <f t="shared" si="14"/>
        <v>0</v>
      </c>
      <c r="BK10" s="10">
        <f>AK10*0.211-7.785</f>
        <v>11.017209999999999</v>
      </c>
      <c r="BL10" s="17">
        <f t="shared" si="15"/>
        <v>0</v>
      </c>
      <c r="BM10" s="10">
        <f>AK10*0.141-5.304</f>
        <v>7.2605099999999982</v>
      </c>
      <c r="BN10" s="17">
        <f t="shared" si="16"/>
        <v>0</v>
      </c>
      <c r="BO10" s="10">
        <v>0.24</v>
      </c>
      <c r="BP10" s="17">
        <f t="shared" si="17"/>
        <v>0</v>
      </c>
      <c r="BQ10" s="10">
        <v>0.34749999999999998</v>
      </c>
      <c r="BR10" s="17">
        <f t="shared" si="18"/>
        <v>0</v>
      </c>
      <c r="BS10" s="10">
        <f>BQ10*0.82</f>
        <v>0.28494999999999998</v>
      </c>
      <c r="BT10" s="17">
        <f t="shared" si="19"/>
        <v>0</v>
      </c>
      <c r="BU10" s="12">
        <v>0.03</v>
      </c>
      <c r="BV10" s="18">
        <f t="shared" si="20"/>
        <v>0</v>
      </c>
      <c r="BW10" s="10">
        <v>0.47</v>
      </c>
      <c r="BX10" s="17">
        <f t="shared" si="21"/>
        <v>0</v>
      </c>
      <c r="BY10" s="10">
        <v>0.23</v>
      </c>
      <c r="BZ10" s="17">
        <f t="shared" si="22"/>
        <v>0</v>
      </c>
      <c r="CA10" s="10">
        <v>0.45</v>
      </c>
      <c r="CB10" s="17">
        <f t="shared" si="23"/>
        <v>0</v>
      </c>
      <c r="CC10" s="10">
        <v>0.78</v>
      </c>
      <c r="CD10" s="14">
        <f t="shared" si="24"/>
        <v>0</v>
      </c>
      <c r="CE10" s="21">
        <f t="shared" si="25"/>
        <v>136.42999999999998</v>
      </c>
      <c r="CF10" s="14">
        <f t="shared" si="26"/>
        <v>0</v>
      </c>
      <c r="CG10" s="10">
        <v>0.69299999999999995</v>
      </c>
      <c r="CH10" s="17">
        <f t="shared" si="27"/>
        <v>0</v>
      </c>
      <c r="CI10" s="10">
        <f>AO10*0.01</f>
        <v>1.3000000000000001E-2</v>
      </c>
      <c r="CJ10" s="14">
        <f t="shared" si="28"/>
        <v>0</v>
      </c>
      <c r="CK10" s="10">
        <v>0</v>
      </c>
      <c r="CL10" s="14">
        <f t="shared" si="29"/>
        <v>0</v>
      </c>
      <c r="CM10" s="10">
        <v>0</v>
      </c>
      <c r="CN10" s="14">
        <f t="shared" si="30"/>
        <v>0</v>
      </c>
      <c r="CO10" s="10">
        <v>0</v>
      </c>
      <c r="CP10" s="14">
        <f t="shared" si="31"/>
        <v>0</v>
      </c>
      <c r="CQ10" s="10">
        <v>0</v>
      </c>
      <c r="CR10" s="14">
        <f t="shared" si="32"/>
        <v>0</v>
      </c>
      <c r="CS10" s="10">
        <v>0</v>
      </c>
      <c r="CT10" s="14">
        <f t="shared" si="33"/>
        <v>0</v>
      </c>
      <c r="CU10" s="10">
        <f t="shared" si="34"/>
        <v>0.25900000000000034</v>
      </c>
      <c r="CV10" s="14">
        <f t="shared" si="35"/>
        <v>0</v>
      </c>
      <c r="CW10" s="11">
        <v>92.790999999999997</v>
      </c>
      <c r="CX10" s="20">
        <f t="shared" si="36"/>
        <v>0</v>
      </c>
      <c r="DC10" s="140"/>
      <c r="DD10" s="140"/>
      <c r="DE10" s="140"/>
      <c r="DF10" s="140"/>
      <c r="DG10" s="140"/>
      <c r="DH10" s="140"/>
      <c r="DI10" s="140"/>
      <c r="DJ10" s="140"/>
      <c r="DK10" s="140"/>
      <c r="DL10" s="140"/>
      <c r="DM10" s="140"/>
      <c r="DN10" s="140"/>
      <c r="DO10" s="140"/>
      <c r="DP10" s="140"/>
      <c r="DQ10" s="140"/>
      <c r="DR10" s="140"/>
      <c r="DS10" s="140"/>
      <c r="DT10" s="140"/>
      <c r="DU10" s="140"/>
      <c r="DV10" s="140"/>
      <c r="DW10" s="140"/>
      <c r="DX10" s="140"/>
      <c r="DY10" s="140"/>
      <c r="DZ10" s="140"/>
      <c r="EA10" s="140"/>
      <c r="EB10" s="140"/>
      <c r="EC10" s="140"/>
      <c r="ED10" s="140"/>
      <c r="EE10" s="140"/>
      <c r="EF10" s="140"/>
      <c r="EG10" s="140"/>
      <c r="EH10" s="140"/>
      <c r="EI10" s="140"/>
      <c r="EJ10" s="140"/>
      <c r="EK10" s="140"/>
      <c r="EL10" s="140"/>
      <c r="EM10" s="140"/>
      <c r="EN10" s="140"/>
      <c r="EO10" s="140"/>
      <c r="EP10" s="140"/>
      <c r="EQ10" s="140"/>
      <c r="ER10" s="140"/>
      <c r="ES10" s="140"/>
      <c r="ET10" s="140"/>
      <c r="EU10" s="140"/>
      <c r="EV10" s="140"/>
      <c r="EW10" s="140"/>
      <c r="EX10" s="140"/>
    </row>
    <row r="11" spans="1:154" s="1" customFormat="1" x14ac:dyDescent="0.3">
      <c r="A11" s="34"/>
      <c r="B11" s="61">
        <v>18000</v>
      </c>
      <c r="C11" s="56">
        <f t="shared" si="0"/>
        <v>3941.2914269937137</v>
      </c>
      <c r="D11" s="76" t="s">
        <v>14</v>
      </c>
      <c r="E11" s="77">
        <f t="shared" si="37"/>
        <v>218.96063483298408</v>
      </c>
      <c r="F11" s="86">
        <v>21.896063483298409</v>
      </c>
      <c r="G11" s="86"/>
      <c r="H11" s="98"/>
      <c r="I11" s="99"/>
      <c r="J11" s="228">
        <f t="shared" si="38"/>
        <v>0</v>
      </c>
      <c r="K11" s="226">
        <f t="shared" si="39"/>
        <v>100</v>
      </c>
      <c r="L11" s="24"/>
      <c r="M11" s="83" t="s">
        <v>79</v>
      </c>
      <c r="N11" s="65" t="s">
        <v>43</v>
      </c>
      <c r="O11" s="121"/>
      <c r="P11" s="95"/>
      <c r="Q11" s="233">
        <f t="shared" si="40"/>
        <v>0</v>
      </c>
      <c r="R11" s="233">
        <f t="shared" si="41"/>
        <v>1000</v>
      </c>
      <c r="S11" s="65"/>
      <c r="T11" s="69">
        <f>SUM(AV5:AV41)</f>
        <v>4.0512538836609924</v>
      </c>
      <c r="U11" s="41"/>
      <c r="V11" s="113"/>
      <c r="W11" s="121"/>
      <c r="X11" s="250"/>
      <c r="Y11" s="121"/>
      <c r="Z11" s="250"/>
      <c r="AA11" s="121"/>
      <c r="AB11" s="250"/>
      <c r="AC11" s="121"/>
      <c r="AD11" s="250"/>
      <c r="AE11" s="121"/>
      <c r="AF11" s="116"/>
      <c r="AG11" s="24"/>
      <c r="AH11" s="59" t="s">
        <v>14</v>
      </c>
      <c r="AI11" s="31">
        <v>3260</v>
      </c>
      <c r="AJ11" s="25">
        <f t="shared" si="1"/>
        <v>713.81166955552817</v>
      </c>
      <c r="AK11" s="26">
        <v>55.728999999999999</v>
      </c>
      <c r="AL11" s="27">
        <f t="shared" si="2"/>
        <v>12.202457218607369</v>
      </c>
      <c r="AM11" s="26">
        <v>19.89</v>
      </c>
      <c r="AN11" s="28">
        <f t="shared" si="3"/>
        <v>4.3551270268280531</v>
      </c>
      <c r="AO11" s="26">
        <v>19.89</v>
      </c>
      <c r="AP11" s="29">
        <f t="shared" si="4"/>
        <v>4.3551270268280531</v>
      </c>
      <c r="AQ11" s="26">
        <v>0</v>
      </c>
      <c r="AR11" s="29">
        <f t="shared" si="5"/>
        <v>0</v>
      </c>
      <c r="AS11" s="35">
        <v>0</v>
      </c>
      <c r="AT11" s="29">
        <f t="shared" si="6"/>
        <v>0</v>
      </c>
      <c r="AU11" s="26">
        <v>8.5510000000000002</v>
      </c>
      <c r="AV11" s="29">
        <f t="shared" si="7"/>
        <v>1.872332388456847</v>
      </c>
      <c r="AW11" s="26">
        <f>AK11*0.040106</f>
        <v>2.2350672739999999</v>
      </c>
      <c r="AX11" s="30">
        <f t="shared" si="8"/>
        <v>0.48939174920946721</v>
      </c>
      <c r="AY11" s="26">
        <f>AK11*0.012191</f>
        <v>0.67939223900000001</v>
      </c>
      <c r="AZ11" s="30">
        <f t="shared" si="9"/>
        <v>0.14876015595204245</v>
      </c>
      <c r="BA11" s="26">
        <f>AK11*0.052-0.273</f>
        <v>2.6249079999999996</v>
      </c>
      <c r="BB11" s="30">
        <f t="shared" si="10"/>
        <v>0.57475152205817848</v>
      </c>
      <c r="BC11" s="26">
        <f>AK11*0.05-0.341</f>
        <v>2.4454500000000001</v>
      </c>
      <c r="BD11" s="30">
        <f t="shared" si="11"/>
        <v>0.53545728445232099</v>
      </c>
      <c r="BE11" s="26">
        <f>AK11*0.009187</f>
        <v>0.51198232300000002</v>
      </c>
      <c r="BF11" s="30">
        <f t="shared" si="12"/>
        <v>0.11210397446734591</v>
      </c>
      <c r="BG11" s="26">
        <f>AK11*0.07-0.345</f>
        <v>3.5560300000000007</v>
      </c>
      <c r="BH11" s="30">
        <f t="shared" si="13"/>
        <v>0.77863058628513659</v>
      </c>
      <c r="BI11" s="26">
        <f>AK11*0.051-0.419</f>
        <v>2.4231789999999997</v>
      </c>
      <c r="BJ11" s="30">
        <f t="shared" si="14"/>
        <v>0.53058081215395547</v>
      </c>
      <c r="BK11" s="26">
        <f>AK11*0.091-0.751</f>
        <v>4.3203389999999997</v>
      </c>
      <c r="BL11" s="30">
        <f t="shared" si="15"/>
        <v>0.94598417013369951</v>
      </c>
      <c r="BM11" s="26">
        <f>AK11*0.081-1.116</f>
        <v>3.3980489999999999</v>
      </c>
      <c r="BN11" s="30">
        <f t="shared" si="16"/>
        <v>0.74403896623358678</v>
      </c>
      <c r="BO11" s="26">
        <v>3.98</v>
      </c>
      <c r="BP11" s="30">
        <f t="shared" si="17"/>
        <v>0.8714633266352767</v>
      </c>
      <c r="BQ11" s="26">
        <v>1.3512999999999999</v>
      </c>
      <c r="BR11" s="30">
        <f t="shared" si="18"/>
        <v>0.29588150584981138</v>
      </c>
      <c r="BS11" s="26">
        <f>BQ11*0.9</f>
        <v>1.21617</v>
      </c>
      <c r="BT11" s="30">
        <f t="shared" si="19"/>
        <v>0.26629335526483022</v>
      </c>
      <c r="BU11" s="26">
        <v>0.08</v>
      </c>
      <c r="BV11" s="30">
        <f t="shared" si="20"/>
        <v>1.7516850786638727E-2</v>
      </c>
      <c r="BW11" s="26">
        <v>0.39</v>
      </c>
      <c r="BX11" s="30">
        <f t="shared" si="21"/>
        <v>8.53946475848638E-2</v>
      </c>
      <c r="BY11" s="26">
        <v>0.53</v>
      </c>
      <c r="BZ11" s="30">
        <f t="shared" si="22"/>
        <v>0.11604913646148157</v>
      </c>
      <c r="CA11" s="26">
        <v>0.51</v>
      </c>
      <c r="CB11" s="30">
        <f t="shared" si="23"/>
        <v>0.11166992376482189</v>
      </c>
      <c r="CC11" s="26">
        <v>0.5</v>
      </c>
      <c r="CD11" s="29">
        <f t="shared" si="24"/>
        <v>0.10948031741649204</v>
      </c>
      <c r="CE11" s="31">
        <f t="shared" si="25"/>
        <v>161.51000000000005</v>
      </c>
      <c r="CF11" s="29">
        <f t="shared" si="26"/>
        <v>35.364332131875273</v>
      </c>
      <c r="CG11" s="26">
        <v>6.0289999999999999</v>
      </c>
      <c r="CH11" s="30">
        <f t="shared" si="27"/>
        <v>1.3201136674080609</v>
      </c>
      <c r="CI11" s="26">
        <f>AO11*0.0131</f>
        <v>0.26055900000000004</v>
      </c>
      <c r="CJ11" s="29">
        <f t="shared" si="28"/>
        <v>5.7052164051447515E-2</v>
      </c>
      <c r="CK11" s="26">
        <v>0</v>
      </c>
      <c r="CL11" s="29">
        <f t="shared" si="29"/>
        <v>0</v>
      </c>
      <c r="CM11" s="26">
        <v>0</v>
      </c>
      <c r="CN11" s="29">
        <f t="shared" si="30"/>
        <v>0</v>
      </c>
      <c r="CO11" s="26">
        <v>0</v>
      </c>
      <c r="CP11" s="29">
        <f t="shared" si="31"/>
        <v>0</v>
      </c>
      <c r="CQ11" s="26">
        <v>0</v>
      </c>
      <c r="CR11" s="29">
        <f t="shared" si="32"/>
        <v>0</v>
      </c>
      <c r="CS11" s="26">
        <v>0</v>
      </c>
      <c r="CT11" s="29">
        <f t="shared" si="33"/>
        <v>0</v>
      </c>
      <c r="CU11" s="26">
        <f t="shared" si="34"/>
        <v>7.5279999999999916</v>
      </c>
      <c r="CV11" s="29">
        <f t="shared" si="35"/>
        <v>1.6483356590227025</v>
      </c>
      <c r="CW11" s="32">
        <v>91.697999999999993</v>
      </c>
      <c r="CX11" s="33">
        <f t="shared" si="36"/>
        <v>20.078252292914971</v>
      </c>
      <c r="CY11" s="34"/>
      <c r="CZ11" s="34"/>
      <c r="DA11" s="34"/>
      <c r="DB11" s="34"/>
      <c r="DC11" s="140"/>
      <c r="DD11" s="140"/>
      <c r="DE11" s="140"/>
      <c r="DF11" s="140"/>
      <c r="DG11" s="140"/>
      <c r="DH11" s="140"/>
      <c r="DI11" s="140"/>
      <c r="DJ11" s="140"/>
      <c r="DK11" s="140"/>
      <c r="DL11" s="140"/>
      <c r="DM11" s="140"/>
      <c r="DN11" s="140"/>
      <c r="DO11" s="140"/>
      <c r="DP11" s="140"/>
      <c r="DQ11" s="140"/>
      <c r="DR11" s="140"/>
      <c r="DS11" s="140"/>
      <c r="DT11" s="140"/>
      <c r="DU11" s="140"/>
      <c r="DV11" s="140"/>
      <c r="DW11" s="140"/>
      <c r="DX11" s="140"/>
      <c r="DY11" s="140"/>
      <c r="DZ11" s="140"/>
      <c r="EA11" s="140"/>
      <c r="EB11" s="140"/>
      <c r="EC11" s="140"/>
      <c r="ED11" s="140"/>
      <c r="EE11" s="140"/>
      <c r="EF11" s="140"/>
      <c r="EG11" s="140"/>
      <c r="EH11" s="140"/>
      <c r="EI11" s="140"/>
      <c r="EJ11" s="140"/>
      <c r="EK11" s="140"/>
      <c r="EL11" s="140"/>
      <c r="EM11" s="140"/>
      <c r="EN11" s="140"/>
      <c r="EO11" s="140"/>
      <c r="EP11" s="140"/>
      <c r="EQ11" s="140"/>
      <c r="ER11" s="140"/>
      <c r="ES11" s="140"/>
      <c r="ET11" s="140"/>
      <c r="EU11" s="140"/>
      <c r="EV11" s="140"/>
      <c r="EW11" s="140"/>
      <c r="EX11" s="140"/>
    </row>
    <row r="12" spans="1:154" s="34" customFormat="1" x14ac:dyDescent="0.3">
      <c r="B12" s="62">
        <v>15000</v>
      </c>
      <c r="C12" s="55">
        <f t="shared" si="0"/>
        <v>0</v>
      </c>
      <c r="D12" s="78" t="s">
        <v>15</v>
      </c>
      <c r="E12" s="79">
        <f t="shared" si="37"/>
        <v>0</v>
      </c>
      <c r="F12" s="87">
        <v>0</v>
      </c>
      <c r="G12" s="87"/>
      <c r="H12" s="100"/>
      <c r="I12" s="101"/>
      <c r="J12" s="228">
        <f t="shared" si="38"/>
        <v>0</v>
      </c>
      <c r="K12" s="226">
        <f t="shared" si="39"/>
        <v>100</v>
      </c>
      <c r="L12" s="24"/>
      <c r="M12" s="84" t="s">
        <v>47</v>
      </c>
      <c r="N12" s="66" t="s">
        <v>43</v>
      </c>
      <c r="O12" s="120">
        <v>1.9</v>
      </c>
      <c r="P12" s="96"/>
      <c r="Q12" s="234">
        <f t="shared" si="40"/>
        <v>1.9</v>
      </c>
      <c r="R12" s="234">
        <f t="shared" si="41"/>
        <v>1000</v>
      </c>
      <c r="S12" s="66"/>
      <c r="T12" s="68">
        <f>SUM(AX5:AX41)</f>
        <v>1.9</v>
      </c>
      <c r="U12" s="41"/>
      <c r="V12" s="113"/>
      <c r="W12" s="120">
        <v>1.9</v>
      </c>
      <c r="X12" s="250"/>
      <c r="Y12" s="120">
        <v>1.9</v>
      </c>
      <c r="Z12" s="250"/>
      <c r="AA12" s="120">
        <v>1.9</v>
      </c>
      <c r="AB12" s="250"/>
      <c r="AC12" s="120">
        <v>1.9</v>
      </c>
      <c r="AD12" s="250"/>
      <c r="AE12" s="120">
        <v>1.9</v>
      </c>
      <c r="AF12" s="116"/>
      <c r="AG12" s="24"/>
      <c r="AH12" s="60" t="s">
        <v>15</v>
      </c>
      <c r="AI12" s="21">
        <v>1580</v>
      </c>
      <c r="AJ12" s="6">
        <f t="shared" si="1"/>
        <v>0</v>
      </c>
      <c r="AK12" s="10">
        <v>27</v>
      </c>
      <c r="AL12" s="7">
        <f t="shared" si="2"/>
        <v>0</v>
      </c>
      <c r="AM12" s="10">
        <v>3</v>
      </c>
      <c r="AN12" s="13">
        <f t="shared" si="3"/>
        <v>0</v>
      </c>
      <c r="AO12" s="10">
        <v>3</v>
      </c>
      <c r="AP12" s="14">
        <f t="shared" si="4"/>
        <v>0</v>
      </c>
      <c r="AQ12" s="10">
        <v>0</v>
      </c>
      <c r="AR12" s="14">
        <f t="shared" si="5"/>
        <v>0</v>
      </c>
      <c r="AS12" s="10">
        <v>2.25</v>
      </c>
      <c r="AT12" s="14">
        <f t="shared" si="6"/>
        <v>0</v>
      </c>
      <c r="AU12" s="10">
        <v>36.75</v>
      </c>
      <c r="AV12" s="14">
        <f t="shared" si="7"/>
        <v>0</v>
      </c>
      <c r="AW12" s="10">
        <f>AK12*0.041-0.06</f>
        <v>1.0469999999999999</v>
      </c>
      <c r="AX12" s="17">
        <f t="shared" si="8"/>
        <v>0</v>
      </c>
      <c r="AY12" s="10">
        <f>AK12*0.01-0.032</f>
        <v>0.23800000000000002</v>
      </c>
      <c r="AZ12" s="17">
        <f t="shared" si="9"/>
        <v>0</v>
      </c>
      <c r="BA12" s="10">
        <f>AK12*0.019-0.154</f>
        <v>0.35899999999999999</v>
      </c>
      <c r="BB12" s="17">
        <f t="shared" si="10"/>
        <v>0</v>
      </c>
      <c r="BC12" s="10">
        <f>AK12*0.036-0.319</f>
        <v>0.65300000000000002</v>
      </c>
      <c r="BD12" s="17">
        <f t="shared" si="11"/>
        <v>0</v>
      </c>
      <c r="BE12" s="10">
        <f>AK12*0.008</f>
        <v>0.216</v>
      </c>
      <c r="BF12" s="17">
        <f t="shared" si="12"/>
        <v>0</v>
      </c>
      <c r="BG12" s="10">
        <f>AK12*0.082-0.278</f>
        <v>1.9359999999999999</v>
      </c>
      <c r="BH12" s="17">
        <f t="shared" si="13"/>
        <v>0</v>
      </c>
      <c r="BI12" s="10">
        <f>AK12*0.025-0.189</f>
        <v>0.48600000000000004</v>
      </c>
      <c r="BJ12" s="17">
        <f t="shared" si="14"/>
        <v>0</v>
      </c>
      <c r="BK12" s="10">
        <f>AK12*0.065-0.611</f>
        <v>1.1440000000000001</v>
      </c>
      <c r="BL12" s="17">
        <f t="shared" si="15"/>
        <v>0</v>
      </c>
      <c r="BM12" s="10">
        <f>AK12*0.043-0.329</f>
        <v>0.83199999999999985</v>
      </c>
      <c r="BN12" s="17">
        <f t="shared" si="16"/>
        <v>0</v>
      </c>
      <c r="BO12" s="10">
        <v>16.5</v>
      </c>
      <c r="BP12" s="17">
        <f t="shared" si="17"/>
        <v>0</v>
      </c>
      <c r="BQ12" s="10">
        <v>7.5</v>
      </c>
      <c r="BR12" s="17">
        <f t="shared" si="18"/>
        <v>0</v>
      </c>
      <c r="BS12" s="10">
        <f>BQ12*1</f>
        <v>7.5</v>
      </c>
      <c r="BT12" s="17">
        <f t="shared" si="19"/>
        <v>0</v>
      </c>
      <c r="BU12" s="12">
        <v>0.4</v>
      </c>
      <c r="BV12" s="18">
        <f t="shared" si="20"/>
        <v>0</v>
      </c>
      <c r="BW12" s="10">
        <v>0.5</v>
      </c>
      <c r="BX12" s="17">
        <f t="shared" si="21"/>
        <v>0</v>
      </c>
      <c r="BY12" s="10">
        <v>0</v>
      </c>
      <c r="BZ12" s="17">
        <f t="shared" si="22"/>
        <v>0</v>
      </c>
      <c r="CA12" s="10">
        <v>0</v>
      </c>
      <c r="CB12" s="17">
        <f t="shared" si="23"/>
        <v>0</v>
      </c>
      <c r="CC12" s="10">
        <v>0</v>
      </c>
      <c r="CD12" s="14">
        <f t="shared" si="24"/>
        <v>0</v>
      </c>
      <c r="CE12" s="21">
        <f t="shared" si="25"/>
        <v>217.5</v>
      </c>
      <c r="CF12" s="14">
        <f t="shared" si="26"/>
        <v>0</v>
      </c>
      <c r="CG12" s="10">
        <v>0</v>
      </c>
      <c r="CH12" s="17">
        <f t="shared" si="27"/>
        <v>0</v>
      </c>
      <c r="CI12" s="10">
        <f>AO12*0.013</f>
        <v>3.9E-2</v>
      </c>
      <c r="CJ12" s="14">
        <f t="shared" si="28"/>
        <v>0</v>
      </c>
      <c r="CK12" s="10">
        <v>0</v>
      </c>
      <c r="CL12" s="14">
        <f t="shared" si="29"/>
        <v>0</v>
      </c>
      <c r="CM12" s="10">
        <v>0</v>
      </c>
      <c r="CN12" s="14">
        <f t="shared" si="30"/>
        <v>0</v>
      </c>
      <c r="CO12" s="10">
        <v>0</v>
      </c>
      <c r="CP12" s="14">
        <f t="shared" si="31"/>
        <v>0</v>
      </c>
      <c r="CQ12" s="10">
        <v>0</v>
      </c>
      <c r="CR12" s="14">
        <f t="shared" si="32"/>
        <v>0</v>
      </c>
      <c r="CS12" s="10">
        <v>0</v>
      </c>
      <c r="CT12" s="14">
        <f t="shared" si="33"/>
        <v>0</v>
      </c>
      <c r="CU12" s="10">
        <f t="shared" si="34"/>
        <v>22</v>
      </c>
      <c r="CV12" s="14">
        <f t="shared" si="35"/>
        <v>0</v>
      </c>
      <c r="CW12" s="11">
        <v>91</v>
      </c>
      <c r="CX12" s="20">
        <f t="shared" si="36"/>
        <v>0</v>
      </c>
      <c r="DC12" s="140"/>
      <c r="DD12" s="140"/>
      <c r="DE12" s="140"/>
      <c r="DF12" s="140"/>
      <c r="DG12" s="140"/>
      <c r="DH12" s="140"/>
      <c r="DI12" s="140"/>
      <c r="DJ12" s="140"/>
      <c r="DK12" s="140"/>
      <c r="DL12" s="140"/>
      <c r="DM12" s="140"/>
      <c r="DN12" s="140"/>
      <c r="DO12" s="140"/>
      <c r="DP12" s="140"/>
      <c r="DQ12" s="140"/>
      <c r="DR12" s="140"/>
      <c r="DS12" s="140"/>
      <c r="DT12" s="140"/>
      <c r="DU12" s="140"/>
      <c r="DV12" s="140"/>
      <c r="DW12" s="140"/>
      <c r="DX12" s="140"/>
      <c r="DY12" s="140"/>
      <c r="DZ12" s="140"/>
      <c r="EA12" s="140"/>
      <c r="EB12" s="140"/>
      <c r="EC12" s="140"/>
      <c r="ED12" s="140"/>
      <c r="EE12" s="140"/>
      <c r="EF12" s="140"/>
      <c r="EG12" s="140"/>
      <c r="EH12" s="140"/>
      <c r="EI12" s="140"/>
      <c r="EJ12" s="140"/>
      <c r="EK12" s="140"/>
      <c r="EL12" s="140"/>
      <c r="EM12" s="140"/>
      <c r="EN12" s="140"/>
      <c r="EO12" s="140"/>
      <c r="EP12" s="140"/>
      <c r="EQ12" s="140"/>
      <c r="ER12" s="140"/>
      <c r="ES12" s="140"/>
      <c r="ET12" s="140"/>
      <c r="EU12" s="140"/>
      <c r="EV12" s="140"/>
      <c r="EW12" s="140"/>
      <c r="EX12" s="140"/>
    </row>
    <row r="13" spans="1:154" s="1" customFormat="1" x14ac:dyDescent="0.3">
      <c r="A13" s="34"/>
      <c r="B13" s="61">
        <v>45000</v>
      </c>
      <c r="C13" s="56">
        <f t="shared" si="0"/>
        <v>538.81058093916238</v>
      </c>
      <c r="D13" s="76" t="s">
        <v>142</v>
      </c>
      <c r="E13" s="77">
        <f t="shared" si="37"/>
        <v>11.973568465314719</v>
      </c>
      <c r="F13" s="86">
        <v>1.1973568465314719</v>
      </c>
      <c r="G13" s="86"/>
      <c r="H13" s="98"/>
      <c r="I13" s="99"/>
      <c r="J13" s="228">
        <f t="shared" si="38"/>
        <v>0</v>
      </c>
      <c r="K13" s="226">
        <f t="shared" si="39"/>
        <v>100</v>
      </c>
      <c r="L13" s="24"/>
      <c r="M13" s="83" t="s">
        <v>27</v>
      </c>
      <c r="N13" s="65" t="s">
        <v>43</v>
      </c>
      <c r="O13" s="121">
        <f>O12*0.55</f>
        <v>1.0449999999999999</v>
      </c>
      <c r="P13" s="95"/>
      <c r="Q13" s="233">
        <f t="shared" si="40"/>
        <v>1.0449999999999999</v>
      </c>
      <c r="R13" s="233">
        <f t="shared" si="41"/>
        <v>1000</v>
      </c>
      <c r="S13" s="65"/>
      <c r="T13" s="69">
        <f>SUM(AZ5:AZ41)</f>
        <v>1.0449999999999999</v>
      </c>
      <c r="U13" s="41"/>
      <c r="V13" s="113"/>
      <c r="W13" s="121">
        <f>W12*0.55</f>
        <v>1.0449999999999999</v>
      </c>
      <c r="X13" s="250"/>
      <c r="Y13" s="121">
        <f>Y12*0.55</f>
        <v>1.0449999999999999</v>
      </c>
      <c r="Z13" s="250"/>
      <c r="AA13" s="121">
        <f>AA12*0.55</f>
        <v>1.0449999999999999</v>
      </c>
      <c r="AB13" s="250"/>
      <c r="AC13" s="121">
        <f>AC12*0.55</f>
        <v>1.0449999999999999</v>
      </c>
      <c r="AD13" s="250"/>
      <c r="AE13" s="121">
        <f>AE12*0.55</f>
        <v>1.0449999999999999</v>
      </c>
      <c r="AF13" s="116"/>
      <c r="AG13" s="24"/>
      <c r="AH13" s="59" t="s">
        <v>142</v>
      </c>
      <c r="AI13" s="31">
        <v>8800</v>
      </c>
      <c r="AJ13" s="25">
        <f t="shared" si="1"/>
        <v>105.36740249476952</v>
      </c>
      <c r="AK13" s="26">
        <v>0</v>
      </c>
      <c r="AL13" s="27">
        <f t="shared" si="2"/>
        <v>0</v>
      </c>
      <c r="AM13" s="26">
        <v>98</v>
      </c>
      <c r="AN13" s="28">
        <f t="shared" si="3"/>
        <v>1.1734097096008425</v>
      </c>
      <c r="AO13" s="26">
        <v>0</v>
      </c>
      <c r="AP13" s="29">
        <f t="shared" si="4"/>
        <v>0</v>
      </c>
      <c r="AQ13" s="26">
        <v>0</v>
      </c>
      <c r="AR13" s="29">
        <f t="shared" si="5"/>
        <v>0</v>
      </c>
      <c r="AS13" s="26">
        <v>0</v>
      </c>
      <c r="AT13" s="29">
        <f t="shared" si="6"/>
        <v>0</v>
      </c>
      <c r="AU13" s="26">
        <v>0</v>
      </c>
      <c r="AV13" s="29">
        <f t="shared" si="7"/>
        <v>0</v>
      </c>
      <c r="AW13" s="26">
        <v>0</v>
      </c>
      <c r="AX13" s="30">
        <f t="shared" si="8"/>
        <v>0</v>
      </c>
      <c r="AY13" s="26">
        <v>0</v>
      </c>
      <c r="AZ13" s="30">
        <f t="shared" si="9"/>
        <v>0</v>
      </c>
      <c r="BA13" s="26">
        <v>0</v>
      </c>
      <c r="BB13" s="30">
        <f t="shared" si="10"/>
        <v>0</v>
      </c>
      <c r="BC13" s="26">
        <v>0</v>
      </c>
      <c r="BD13" s="30">
        <f t="shared" si="11"/>
        <v>0</v>
      </c>
      <c r="BE13" s="26">
        <v>0</v>
      </c>
      <c r="BF13" s="30">
        <f t="shared" si="12"/>
        <v>0</v>
      </c>
      <c r="BG13" s="26">
        <v>0</v>
      </c>
      <c r="BH13" s="30">
        <f t="shared" si="13"/>
        <v>0</v>
      </c>
      <c r="BI13" s="26">
        <v>0</v>
      </c>
      <c r="BJ13" s="30">
        <f t="shared" si="14"/>
        <v>0</v>
      </c>
      <c r="BK13" s="26">
        <v>0</v>
      </c>
      <c r="BL13" s="30">
        <f t="shared" si="15"/>
        <v>0</v>
      </c>
      <c r="BM13" s="26">
        <v>0</v>
      </c>
      <c r="BN13" s="30">
        <f t="shared" si="16"/>
        <v>0</v>
      </c>
      <c r="BO13" s="26">
        <v>0</v>
      </c>
      <c r="BP13" s="30">
        <f t="shared" si="17"/>
        <v>0</v>
      </c>
      <c r="BQ13" s="26">
        <v>0</v>
      </c>
      <c r="BR13" s="30">
        <f t="shared" si="18"/>
        <v>0</v>
      </c>
      <c r="BS13" s="26">
        <v>0</v>
      </c>
      <c r="BT13" s="30">
        <f t="shared" si="19"/>
        <v>0</v>
      </c>
      <c r="BU13" s="26">
        <v>0</v>
      </c>
      <c r="BV13" s="30">
        <f t="shared" si="20"/>
        <v>0</v>
      </c>
      <c r="BW13" s="26">
        <v>0</v>
      </c>
      <c r="BX13" s="30">
        <f t="shared" si="21"/>
        <v>0</v>
      </c>
      <c r="BY13" s="26">
        <v>0</v>
      </c>
      <c r="BZ13" s="30">
        <f t="shared" si="22"/>
        <v>0</v>
      </c>
      <c r="CA13" s="26">
        <v>0</v>
      </c>
      <c r="CB13" s="30">
        <f t="shared" si="23"/>
        <v>0</v>
      </c>
      <c r="CC13" s="26">
        <v>0</v>
      </c>
      <c r="CD13" s="29">
        <f t="shared" si="24"/>
        <v>0</v>
      </c>
      <c r="CE13" s="31">
        <v>0</v>
      </c>
      <c r="CF13" s="29">
        <f t="shared" si="26"/>
        <v>0</v>
      </c>
      <c r="CG13" s="26">
        <v>0</v>
      </c>
      <c r="CH13" s="30">
        <f t="shared" si="27"/>
        <v>0</v>
      </c>
      <c r="CI13" s="26">
        <v>0</v>
      </c>
      <c r="CJ13" s="29">
        <f t="shared" si="28"/>
        <v>0</v>
      </c>
      <c r="CK13" s="26">
        <v>0</v>
      </c>
      <c r="CL13" s="29">
        <f t="shared" si="29"/>
        <v>0</v>
      </c>
      <c r="CM13" s="26">
        <v>0</v>
      </c>
      <c r="CN13" s="29">
        <f t="shared" si="30"/>
        <v>0</v>
      </c>
      <c r="CO13" s="26">
        <v>0</v>
      </c>
      <c r="CP13" s="29">
        <f t="shared" si="31"/>
        <v>0</v>
      </c>
      <c r="CQ13" s="26">
        <v>0</v>
      </c>
      <c r="CR13" s="29">
        <f t="shared" si="32"/>
        <v>0</v>
      </c>
      <c r="CS13" s="26">
        <v>0</v>
      </c>
      <c r="CT13" s="29">
        <f t="shared" si="33"/>
        <v>0</v>
      </c>
      <c r="CU13" s="26">
        <v>0</v>
      </c>
      <c r="CV13" s="29">
        <f t="shared" si="35"/>
        <v>0</v>
      </c>
      <c r="CW13" s="32">
        <v>0</v>
      </c>
      <c r="CX13" s="33">
        <f t="shared" si="36"/>
        <v>0</v>
      </c>
      <c r="CY13" s="34"/>
      <c r="CZ13" s="34"/>
      <c r="DA13" s="34"/>
      <c r="DB13" s="34"/>
      <c r="DC13" s="140"/>
      <c r="DD13" s="140"/>
      <c r="DE13" s="140"/>
      <c r="DF13" s="140"/>
      <c r="DG13" s="140"/>
      <c r="DH13" s="140"/>
      <c r="DI13" s="140"/>
      <c r="DJ13" s="140"/>
      <c r="DK13" s="140"/>
      <c r="DL13" s="140"/>
      <c r="DM13" s="140"/>
      <c r="DN13" s="140"/>
      <c r="DO13" s="140"/>
      <c r="DP13" s="140"/>
      <c r="DQ13" s="140"/>
      <c r="DR13" s="140"/>
      <c r="DS13" s="140"/>
      <c r="DT13" s="140"/>
      <c r="DU13" s="140"/>
      <c r="DV13" s="140"/>
      <c r="DW13" s="140"/>
      <c r="DX13" s="140"/>
      <c r="DY13" s="140"/>
      <c r="DZ13" s="140"/>
      <c r="EA13" s="140"/>
      <c r="EB13" s="140"/>
      <c r="EC13" s="140"/>
      <c r="ED13" s="140"/>
      <c r="EE13" s="140"/>
      <c r="EF13" s="140"/>
      <c r="EG13" s="140"/>
      <c r="EH13" s="140"/>
      <c r="EI13" s="140"/>
      <c r="EJ13" s="140"/>
      <c r="EK13" s="140"/>
      <c r="EL13" s="140"/>
      <c r="EM13" s="140"/>
      <c r="EN13" s="140"/>
      <c r="EO13" s="140"/>
      <c r="EP13" s="140"/>
      <c r="EQ13" s="140"/>
      <c r="ER13" s="140"/>
      <c r="ES13" s="140"/>
      <c r="ET13" s="140"/>
      <c r="EU13" s="140"/>
      <c r="EV13" s="140"/>
      <c r="EW13" s="140"/>
      <c r="EX13" s="140"/>
    </row>
    <row r="14" spans="1:154" s="34" customFormat="1" x14ac:dyDescent="0.3">
      <c r="B14" s="62">
        <v>80000</v>
      </c>
      <c r="C14" s="55">
        <f t="shared" si="0"/>
        <v>6.860224391287749E-12</v>
      </c>
      <c r="D14" s="78" t="s">
        <v>141</v>
      </c>
      <c r="E14" s="79"/>
      <c r="F14" s="87">
        <v>8.575280489109686E-15</v>
      </c>
      <c r="G14" s="87"/>
      <c r="H14" s="100"/>
      <c r="I14" s="101"/>
      <c r="J14" s="228">
        <f>IF((H14)="",0,(H14))</f>
        <v>0</v>
      </c>
      <c r="K14" s="226">
        <f t="shared" si="39"/>
        <v>100</v>
      </c>
      <c r="L14" s="24"/>
      <c r="M14" s="84" t="s">
        <v>48</v>
      </c>
      <c r="N14" s="66" t="s">
        <v>43</v>
      </c>
      <c r="O14" s="120">
        <f>O12*0.8</f>
        <v>1.52</v>
      </c>
      <c r="P14" s="96"/>
      <c r="Q14" s="234">
        <f t="shared" si="40"/>
        <v>1.52</v>
      </c>
      <c r="R14" s="234">
        <f t="shared" si="41"/>
        <v>1000</v>
      </c>
      <c r="S14" s="66"/>
      <c r="T14" s="68">
        <f>SUM(BB5:BB41)</f>
        <v>1.7268401137440539</v>
      </c>
      <c r="U14" s="41"/>
      <c r="V14" s="113"/>
      <c r="W14" s="120">
        <f>W12*0.8</f>
        <v>1.52</v>
      </c>
      <c r="X14" s="250"/>
      <c r="Y14" s="120">
        <f>Y12*0.8</f>
        <v>1.52</v>
      </c>
      <c r="Z14" s="250"/>
      <c r="AA14" s="120">
        <f>AA12*0.8</f>
        <v>1.52</v>
      </c>
      <c r="AB14" s="250"/>
      <c r="AC14" s="120">
        <f>AC12*0.8</f>
        <v>1.52</v>
      </c>
      <c r="AD14" s="250"/>
      <c r="AE14" s="120">
        <f>AE12*0.8</f>
        <v>1.52</v>
      </c>
      <c r="AF14" s="116"/>
      <c r="AG14" s="24"/>
      <c r="AH14" s="60" t="s">
        <v>141</v>
      </c>
      <c r="AI14" s="21">
        <v>8800</v>
      </c>
      <c r="AJ14" s="6">
        <f t="shared" si="1"/>
        <v>7.5462468304165235E-13</v>
      </c>
      <c r="AK14" s="10">
        <v>0</v>
      </c>
      <c r="AL14" s="7">
        <f t="shared" si="2"/>
        <v>0</v>
      </c>
      <c r="AM14" s="10">
        <v>98</v>
      </c>
      <c r="AN14" s="13">
        <f t="shared" si="3"/>
        <v>8.4037748793274925E-15</v>
      </c>
      <c r="AO14" s="10">
        <v>0</v>
      </c>
      <c r="AP14" s="14">
        <f t="shared" si="4"/>
        <v>0</v>
      </c>
      <c r="AQ14" s="10">
        <v>0</v>
      </c>
      <c r="AR14" s="14">
        <f t="shared" si="5"/>
        <v>0</v>
      </c>
      <c r="AS14" s="10">
        <v>0</v>
      </c>
      <c r="AT14" s="14">
        <f t="shared" si="6"/>
        <v>0</v>
      </c>
      <c r="AU14" s="10">
        <v>0</v>
      </c>
      <c r="AV14" s="14">
        <f t="shared" si="7"/>
        <v>0</v>
      </c>
      <c r="AW14" s="10">
        <v>0</v>
      </c>
      <c r="AX14" s="17">
        <f t="shared" si="8"/>
        <v>0</v>
      </c>
      <c r="AY14" s="10">
        <v>0</v>
      </c>
      <c r="AZ14" s="17">
        <f t="shared" si="9"/>
        <v>0</v>
      </c>
      <c r="BA14" s="10">
        <v>0</v>
      </c>
      <c r="BB14" s="17">
        <f t="shared" si="10"/>
        <v>0</v>
      </c>
      <c r="BC14" s="10">
        <v>0</v>
      </c>
      <c r="BD14" s="17">
        <f t="shared" si="11"/>
        <v>0</v>
      </c>
      <c r="BE14" s="10">
        <v>0</v>
      </c>
      <c r="BF14" s="17">
        <f t="shared" si="12"/>
        <v>0</v>
      </c>
      <c r="BG14" s="10">
        <v>0</v>
      </c>
      <c r="BH14" s="17">
        <f t="shared" si="13"/>
        <v>0</v>
      </c>
      <c r="BI14" s="10">
        <v>0</v>
      </c>
      <c r="BJ14" s="17">
        <f t="shared" si="14"/>
        <v>0</v>
      </c>
      <c r="BK14" s="10">
        <v>0</v>
      </c>
      <c r="BL14" s="17">
        <f t="shared" si="15"/>
        <v>0</v>
      </c>
      <c r="BM14" s="10">
        <v>0</v>
      </c>
      <c r="BN14" s="17">
        <f t="shared" si="16"/>
        <v>0</v>
      </c>
      <c r="BO14" s="10">
        <v>0</v>
      </c>
      <c r="BP14" s="17">
        <f t="shared" si="17"/>
        <v>0</v>
      </c>
      <c r="BQ14" s="10">
        <v>0</v>
      </c>
      <c r="BR14" s="17">
        <f t="shared" si="18"/>
        <v>0</v>
      </c>
      <c r="BS14" s="10">
        <v>0</v>
      </c>
      <c r="BT14" s="17">
        <f t="shared" si="19"/>
        <v>0</v>
      </c>
      <c r="BU14" s="12">
        <v>0</v>
      </c>
      <c r="BV14" s="18">
        <f t="shared" si="20"/>
        <v>0</v>
      </c>
      <c r="BW14" s="10">
        <v>0</v>
      </c>
      <c r="BX14" s="17">
        <f t="shared" si="21"/>
        <v>0</v>
      </c>
      <c r="BY14" s="10">
        <v>0</v>
      </c>
      <c r="BZ14" s="17">
        <f t="shared" si="22"/>
        <v>0</v>
      </c>
      <c r="CA14" s="10">
        <v>0</v>
      </c>
      <c r="CB14" s="17">
        <f t="shared" si="23"/>
        <v>0</v>
      </c>
      <c r="CC14" s="10">
        <v>0</v>
      </c>
      <c r="CD14" s="14">
        <f t="shared" si="24"/>
        <v>0</v>
      </c>
      <c r="CE14" s="21">
        <v>0</v>
      </c>
      <c r="CF14" s="14">
        <f t="shared" si="26"/>
        <v>0</v>
      </c>
      <c r="CG14" s="10">
        <v>0</v>
      </c>
      <c r="CH14" s="17">
        <f t="shared" si="27"/>
        <v>0</v>
      </c>
      <c r="CI14" s="10">
        <v>0</v>
      </c>
      <c r="CJ14" s="14">
        <f t="shared" si="28"/>
        <v>0</v>
      </c>
      <c r="CK14" s="10">
        <v>0</v>
      </c>
      <c r="CL14" s="14">
        <f t="shared" si="29"/>
        <v>0</v>
      </c>
      <c r="CM14" s="10">
        <v>34</v>
      </c>
      <c r="CN14" s="14">
        <f t="shared" si="30"/>
        <v>2.9155953662972935E-15</v>
      </c>
      <c r="CO14" s="10">
        <v>0</v>
      </c>
      <c r="CP14" s="14">
        <f t="shared" si="31"/>
        <v>0</v>
      </c>
      <c r="CQ14" s="10">
        <v>0</v>
      </c>
      <c r="CR14" s="14">
        <f t="shared" si="32"/>
        <v>0</v>
      </c>
      <c r="CS14" s="10">
        <v>0</v>
      </c>
      <c r="CT14" s="14">
        <f t="shared" si="33"/>
        <v>0</v>
      </c>
      <c r="CU14" s="10">
        <v>0</v>
      </c>
      <c r="CV14" s="14">
        <f t="shared" si="35"/>
        <v>0</v>
      </c>
      <c r="CW14" s="11">
        <v>0</v>
      </c>
      <c r="CX14" s="20">
        <f t="shared" si="36"/>
        <v>0</v>
      </c>
      <c r="DC14" s="140"/>
      <c r="DD14" s="140"/>
      <c r="DE14" s="140"/>
      <c r="DF14" s="140"/>
      <c r="DG14" s="140"/>
      <c r="DH14" s="140"/>
      <c r="DI14" s="140"/>
      <c r="DJ14" s="140"/>
      <c r="DK14" s="140"/>
      <c r="DL14" s="140"/>
      <c r="DM14" s="140"/>
      <c r="DN14" s="140"/>
      <c r="DO14" s="140"/>
      <c r="DP14" s="140"/>
      <c r="DQ14" s="140"/>
      <c r="DR14" s="140"/>
      <c r="DS14" s="140"/>
      <c r="DT14" s="140"/>
      <c r="DU14" s="140"/>
      <c r="DV14" s="140"/>
      <c r="DW14" s="140"/>
      <c r="DX14" s="140"/>
      <c r="DY14" s="140"/>
      <c r="DZ14" s="140"/>
      <c r="EA14" s="140"/>
      <c r="EB14" s="140"/>
      <c r="EC14" s="140"/>
      <c r="ED14" s="140"/>
      <c r="EE14" s="140"/>
      <c r="EF14" s="140"/>
      <c r="EG14" s="140"/>
      <c r="EH14" s="140"/>
      <c r="EI14" s="140"/>
      <c r="EJ14" s="140"/>
      <c r="EK14" s="140"/>
      <c r="EL14" s="140"/>
      <c r="EM14" s="140"/>
      <c r="EN14" s="140"/>
      <c r="EO14" s="140"/>
      <c r="EP14" s="140"/>
      <c r="EQ14" s="140"/>
      <c r="ER14" s="140"/>
      <c r="ES14" s="140"/>
      <c r="ET14" s="140"/>
      <c r="EU14" s="140"/>
      <c r="EV14" s="140"/>
      <c r="EW14" s="140"/>
      <c r="EX14" s="140"/>
    </row>
    <row r="15" spans="1:154" s="1" customFormat="1" x14ac:dyDescent="0.3">
      <c r="A15" s="34"/>
      <c r="B15" s="61">
        <v>12000</v>
      </c>
      <c r="C15" s="56">
        <f t="shared" si="0"/>
        <v>0</v>
      </c>
      <c r="D15" s="76" t="s">
        <v>16</v>
      </c>
      <c r="E15" s="77">
        <f t="shared" si="37"/>
        <v>0</v>
      </c>
      <c r="F15" s="86">
        <v>0</v>
      </c>
      <c r="G15" s="86"/>
      <c r="H15" s="98"/>
      <c r="I15" s="99">
        <v>0</v>
      </c>
      <c r="J15" s="228">
        <f t="shared" si="38"/>
        <v>0</v>
      </c>
      <c r="K15" s="226">
        <f t="shared" si="39"/>
        <v>0</v>
      </c>
      <c r="L15" s="24"/>
      <c r="M15" s="83" t="s">
        <v>30</v>
      </c>
      <c r="N15" s="65" t="s">
        <v>43</v>
      </c>
      <c r="O15" s="121">
        <f>O12*0.62</f>
        <v>1.1779999999999999</v>
      </c>
      <c r="P15" s="95"/>
      <c r="Q15" s="233">
        <f t="shared" si="40"/>
        <v>1.1779999999999999</v>
      </c>
      <c r="R15" s="233">
        <f t="shared" si="41"/>
        <v>1000</v>
      </c>
      <c r="S15" s="65"/>
      <c r="T15" s="69">
        <f>SUM(BD5:BD41)</f>
        <v>1.1779999999999993</v>
      </c>
      <c r="U15" s="41"/>
      <c r="V15" s="113"/>
      <c r="W15" s="121">
        <f>W12*0.62</f>
        <v>1.1779999999999999</v>
      </c>
      <c r="X15" s="250"/>
      <c r="Y15" s="121">
        <f>Y12*0.62</f>
        <v>1.1779999999999999</v>
      </c>
      <c r="Z15" s="250"/>
      <c r="AA15" s="121">
        <f>AA12*0.62</f>
        <v>1.1779999999999999</v>
      </c>
      <c r="AB15" s="250"/>
      <c r="AC15" s="121">
        <f>AC12*0.62</f>
        <v>1.1779999999999999</v>
      </c>
      <c r="AD15" s="250"/>
      <c r="AE15" s="121">
        <f>AE12*0.62</f>
        <v>1.1779999999999999</v>
      </c>
      <c r="AF15" s="116"/>
      <c r="AG15" s="24"/>
      <c r="AH15" s="59" t="s">
        <v>16</v>
      </c>
      <c r="AI15" s="31">
        <v>1500</v>
      </c>
      <c r="AJ15" s="25">
        <f t="shared" si="1"/>
        <v>0</v>
      </c>
      <c r="AK15" s="26">
        <v>7.42</v>
      </c>
      <c r="AL15" s="27">
        <f t="shared" si="2"/>
        <v>0</v>
      </c>
      <c r="AM15" s="26">
        <v>3.76</v>
      </c>
      <c r="AN15" s="28">
        <f t="shared" si="3"/>
        <v>0</v>
      </c>
      <c r="AO15" s="26">
        <v>3.76</v>
      </c>
      <c r="AP15" s="29">
        <f t="shared" si="4"/>
        <v>0</v>
      </c>
      <c r="AQ15" s="26">
        <v>63.442</v>
      </c>
      <c r="AR15" s="29">
        <f t="shared" si="5"/>
        <v>0</v>
      </c>
      <c r="AS15" s="26">
        <v>2.2930000000000001</v>
      </c>
      <c r="AT15" s="29">
        <f t="shared" si="6"/>
        <v>0</v>
      </c>
      <c r="AU15" s="26">
        <v>1.145</v>
      </c>
      <c r="AV15" s="29">
        <f t="shared" si="7"/>
        <v>0</v>
      </c>
      <c r="AW15" s="26">
        <f>AK15*0.0301</f>
        <v>0.22334199999999998</v>
      </c>
      <c r="AX15" s="30">
        <f t="shared" si="8"/>
        <v>0</v>
      </c>
      <c r="AY15" s="26">
        <f>AK15*0.014+0.063</f>
        <v>0.16688</v>
      </c>
      <c r="AZ15" s="30">
        <f t="shared" si="9"/>
        <v>0</v>
      </c>
      <c r="BA15" s="26">
        <f>AK15*0.03+0.104</f>
        <v>0.3266</v>
      </c>
      <c r="BB15" s="30">
        <f t="shared" si="10"/>
        <v>0</v>
      </c>
      <c r="BC15" s="26">
        <f>AK15*0.031+0.036</f>
        <v>0.26601999999999998</v>
      </c>
      <c r="BD15" s="30">
        <f t="shared" si="11"/>
        <v>0</v>
      </c>
      <c r="BE15" s="26">
        <f>AK15*0.0079</f>
        <v>5.8618000000000003E-2</v>
      </c>
      <c r="BF15" s="30">
        <f t="shared" si="12"/>
        <v>0</v>
      </c>
      <c r="BG15" s="26">
        <f>AK15*0.034+0.104</f>
        <v>0.35627999999999999</v>
      </c>
      <c r="BH15" s="30">
        <f t="shared" si="13"/>
        <v>0</v>
      </c>
      <c r="BI15" s="26">
        <f>AK15*0.035-0.009</f>
        <v>0.25070000000000003</v>
      </c>
      <c r="BJ15" s="30">
        <f t="shared" si="14"/>
        <v>0</v>
      </c>
      <c r="BK15" s="26">
        <f>AK15*0.144-0.191</f>
        <v>0.87747999999999982</v>
      </c>
      <c r="BL15" s="30">
        <f t="shared" si="15"/>
        <v>0</v>
      </c>
      <c r="BM15" s="26">
        <f>AK15*0.042+0.036</f>
        <v>0.34764</v>
      </c>
      <c r="BN15" s="30">
        <f t="shared" si="16"/>
        <v>0</v>
      </c>
      <c r="BO15" s="26">
        <v>0.02</v>
      </c>
      <c r="BP15" s="30">
        <f t="shared" si="17"/>
        <v>0</v>
      </c>
      <c r="BQ15" s="26">
        <v>0.22040000000000001</v>
      </c>
      <c r="BR15" s="30">
        <f t="shared" si="18"/>
        <v>0</v>
      </c>
      <c r="BS15" s="26">
        <f>BQ15*0.3077</f>
        <v>6.7817080000000002E-2</v>
      </c>
      <c r="BT15" s="30">
        <f t="shared" si="19"/>
        <v>0</v>
      </c>
      <c r="BU15" s="26">
        <v>0.09</v>
      </c>
      <c r="BV15" s="30">
        <f t="shared" si="20"/>
        <v>0</v>
      </c>
      <c r="BW15" s="26">
        <v>0.01</v>
      </c>
      <c r="BX15" s="30">
        <f t="shared" si="21"/>
        <v>0</v>
      </c>
      <c r="BY15" s="26">
        <v>0.32</v>
      </c>
      <c r="BZ15" s="30">
        <f t="shared" si="22"/>
        <v>0</v>
      </c>
      <c r="CA15" s="26">
        <v>0.05</v>
      </c>
      <c r="CB15" s="30">
        <f t="shared" si="23"/>
        <v>0</v>
      </c>
      <c r="CC15" s="26">
        <v>0.11</v>
      </c>
      <c r="CD15" s="29">
        <f t="shared" si="24"/>
        <v>0</v>
      </c>
      <c r="CE15" s="31">
        <f t="shared" si="25"/>
        <v>72.169999999999987</v>
      </c>
      <c r="CF15" s="29">
        <f t="shared" si="26"/>
        <v>0</v>
      </c>
      <c r="CG15" s="26">
        <v>0.53300000000000003</v>
      </c>
      <c r="CH15" s="30">
        <f t="shared" si="27"/>
        <v>0</v>
      </c>
      <c r="CI15" s="26">
        <f>AO15*0.4803</f>
        <v>1.805928</v>
      </c>
      <c r="CJ15" s="29">
        <f t="shared" si="28"/>
        <v>0</v>
      </c>
      <c r="CK15" s="26">
        <v>0</v>
      </c>
      <c r="CL15" s="29">
        <f t="shared" si="29"/>
        <v>0</v>
      </c>
      <c r="CM15" s="26">
        <v>0</v>
      </c>
      <c r="CN15" s="29">
        <f t="shared" si="30"/>
        <v>0</v>
      </c>
      <c r="CO15" s="26">
        <v>10.242000000000001</v>
      </c>
      <c r="CP15" s="29">
        <f t="shared" si="31"/>
        <v>0</v>
      </c>
      <c r="CQ15" s="26">
        <v>3.1019999999999999</v>
      </c>
      <c r="CR15" s="29">
        <f t="shared" si="32"/>
        <v>0</v>
      </c>
      <c r="CS15" s="26">
        <v>1.3140000000000001</v>
      </c>
      <c r="CT15" s="29">
        <f t="shared" si="33"/>
        <v>0</v>
      </c>
      <c r="CU15" s="26">
        <f t="shared" ref="CU15:CU25" si="42">CW15-(AK15+AO15+AS15+AU15)</f>
        <v>73.190000000000012</v>
      </c>
      <c r="CV15" s="29">
        <f t="shared" si="35"/>
        <v>0</v>
      </c>
      <c r="CW15" s="32">
        <v>87.808000000000007</v>
      </c>
      <c r="CX15" s="33">
        <f t="shared" si="36"/>
        <v>0</v>
      </c>
      <c r="CY15" s="34"/>
      <c r="CZ15" s="34"/>
      <c r="DA15" s="34"/>
      <c r="DB15" s="34"/>
      <c r="DC15" s="140"/>
      <c r="DD15" s="140"/>
      <c r="DE15" s="140"/>
      <c r="DF15" s="140"/>
      <c r="DG15" s="140"/>
      <c r="DH15" s="140"/>
      <c r="DI15" s="140"/>
      <c r="DJ15" s="140"/>
      <c r="DK15" s="140"/>
      <c r="DL15" s="140"/>
      <c r="DM15" s="140"/>
      <c r="DN15" s="140"/>
      <c r="DO15" s="140"/>
      <c r="DP15" s="140"/>
      <c r="DQ15" s="140"/>
      <c r="DR15" s="140"/>
      <c r="DS15" s="140"/>
      <c r="DT15" s="140"/>
      <c r="DU15" s="140"/>
      <c r="DV15" s="140"/>
      <c r="DW15" s="140"/>
      <c r="DX15" s="140"/>
      <c r="DY15" s="140"/>
      <c r="DZ15" s="140"/>
      <c r="EA15" s="140"/>
      <c r="EB15" s="140"/>
      <c r="EC15" s="140"/>
      <c r="ED15" s="140"/>
      <c r="EE15" s="140"/>
      <c r="EF15" s="140"/>
      <c r="EG15" s="140"/>
      <c r="EH15" s="140"/>
      <c r="EI15" s="140"/>
      <c r="EJ15" s="140"/>
      <c r="EK15" s="140"/>
      <c r="EL15" s="140"/>
      <c r="EM15" s="140"/>
      <c r="EN15" s="140"/>
      <c r="EO15" s="140"/>
      <c r="EP15" s="140"/>
      <c r="EQ15" s="140"/>
      <c r="ER15" s="140"/>
      <c r="ES15" s="140"/>
      <c r="ET15" s="140"/>
      <c r="EU15" s="140"/>
      <c r="EV15" s="140"/>
      <c r="EW15" s="140"/>
      <c r="EX15" s="140"/>
    </row>
    <row r="16" spans="1:154" s="1" customFormat="1" x14ac:dyDescent="0.3">
      <c r="A16" s="34"/>
      <c r="B16" s="62">
        <v>15000</v>
      </c>
      <c r="C16" s="55">
        <f t="shared" si="0"/>
        <v>8361.4366397164031</v>
      </c>
      <c r="D16" s="78" t="s">
        <v>17</v>
      </c>
      <c r="E16" s="79">
        <f t="shared" si="37"/>
        <v>557.42910931442691</v>
      </c>
      <c r="F16" s="87">
        <v>55.742910931442687</v>
      </c>
      <c r="G16" s="87"/>
      <c r="H16" s="100"/>
      <c r="I16" s="101"/>
      <c r="J16" s="228">
        <f t="shared" si="38"/>
        <v>0</v>
      </c>
      <c r="K16" s="226">
        <f t="shared" si="39"/>
        <v>100</v>
      </c>
      <c r="L16" s="24"/>
      <c r="M16" s="84" t="s">
        <v>31</v>
      </c>
      <c r="N16" s="66" t="s">
        <v>43</v>
      </c>
      <c r="O16" s="120"/>
      <c r="P16" s="96"/>
      <c r="Q16" s="234">
        <f t="shared" si="40"/>
        <v>0</v>
      </c>
      <c r="R16" s="234">
        <f t="shared" si="41"/>
        <v>1000</v>
      </c>
      <c r="S16" s="66"/>
      <c r="T16" s="68">
        <f>SUM(BF5:BF41)</f>
        <v>0.25510106771611163</v>
      </c>
      <c r="U16" s="41"/>
      <c r="V16" s="113"/>
      <c r="W16" s="120"/>
      <c r="X16" s="250"/>
      <c r="Y16" s="120"/>
      <c r="Z16" s="250"/>
      <c r="AA16" s="120"/>
      <c r="AB16" s="250"/>
      <c r="AC16" s="120"/>
      <c r="AD16" s="250"/>
      <c r="AE16" s="120"/>
      <c r="AF16" s="116"/>
      <c r="AG16" s="24"/>
      <c r="AH16" s="60" t="s">
        <v>17</v>
      </c>
      <c r="AI16" s="21">
        <v>1790</v>
      </c>
      <c r="AJ16" s="6">
        <f t="shared" si="1"/>
        <v>997.79810567282402</v>
      </c>
      <c r="AK16" s="10">
        <v>11.798</v>
      </c>
      <c r="AL16" s="7">
        <f t="shared" si="2"/>
        <v>6.5765486316916082</v>
      </c>
      <c r="AM16" s="10">
        <v>1.9219999999999999</v>
      </c>
      <c r="AN16" s="13">
        <f t="shared" si="3"/>
        <v>1.0713787481023285</v>
      </c>
      <c r="AO16" s="10">
        <v>1.9219999999999999</v>
      </c>
      <c r="AP16" s="14">
        <f t="shared" si="4"/>
        <v>1.0713787481023285</v>
      </c>
      <c r="AQ16" s="10">
        <v>60.253</v>
      </c>
      <c r="AR16" s="14">
        <f t="shared" si="5"/>
        <v>33.586776123522164</v>
      </c>
      <c r="AS16" s="10">
        <v>2.6819999999999999</v>
      </c>
      <c r="AT16" s="14">
        <f t="shared" si="6"/>
        <v>1.4950248711812928</v>
      </c>
      <c r="AU16" s="10">
        <v>1.786</v>
      </c>
      <c r="AV16" s="14">
        <f t="shared" si="7"/>
        <v>0.99556838923556645</v>
      </c>
      <c r="AW16" s="10">
        <f>AK16*0.018+0.116</f>
        <v>0.32836399999999999</v>
      </c>
      <c r="AX16" s="17">
        <f t="shared" si="8"/>
        <v>0.18303965205092246</v>
      </c>
      <c r="AY16" s="10">
        <f>AK16*0.014+0.024</f>
        <v>0.18917200000000001</v>
      </c>
      <c r="AZ16" s="17">
        <f t="shared" si="9"/>
        <v>0.10544997946722877</v>
      </c>
      <c r="BA16" s="10">
        <f>AK16*0.032+0.069</f>
        <v>0.44653599999999999</v>
      </c>
      <c r="BB16" s="17">
        <f t="shared" si="10"/>
        <v>0.2489121647568269</v>
      </c>
      <c r="BC16" s="10">
        <f>AK16*0.023+0.059</f>
        <v>0.33035399999999998</v>
      </c>
      <c r="BD16" s="17">
        <f t="shared" si="11"/>
        <v>0.18414893597845816</v>
      </c>
      <c r="BE16" s="10">
        <f>AK16*0.009+0.044</f>
        <v>0.15018199999999998</v>
      </c>
      <c r="BF16" s="17">
        <f t="shared" si="12"/>
        <v>8.3715818495059241E-2</v>
      </c>
      <c r="BG16" s="10">
        <f>AK16*0.041+0.081</f>
        <v>0.56471800000000005</v>
      </c>
      <c r="BH16" s="17">
        <f t="shared" si="13"/>
        <v>0.31479025175382458</v>
      </c>
      <c r="BI16" s="10">
        <f>AK16*0.034-0.004</f>
        <v>0.39713200000000004</v>
      </c>
      <c r="BJ16" s="17">
        <f t="shared" si="14"/>
        <v>0.22137293704025698</v>
      </c>
      <c r="BK16" s="10">
        <f>AK16*0.062+0.043</f>
        <v>0.77447600000000005</v>
      </c>
      <c r="BL16" s="17">
        <f t="shared" si="15"/>
        <v>0.43171546686540008</v>
      </c>
      <c r="BM16" s="10">
        <f>AK16*0.038+0.054</f>
        <v>0.50232399999999999</v>
      </c>
      <c r="BN16" s="17">
        <f t="shared" si="16"/>
        <v>0.28001001990726015</v>
      </c>
      <c r="BO16" s="10">
        <v>7.0000000000000007E-2</v>
      </c>
      <c r="BP16" s="17">
        <f t="shared" si="17"/>
        <v>3.9020037652009884E-2</v>
      </c>
      <c r="BQ16" s="10">
        <v>0.27939999999999998</v>
      </c>
      <c r="BR16" s="17">
        <f t="shared" si="18"/>
        <v>0.15574569314245085</v>
      </c>
      <c r="BS16" s="10">
        <f>BQ16*0.366</f>
        <v>0.10226039999999999</v>
      </c>
      <c r="BT16" s="17">
        <f t="shared" si="19"/>
        <v>5.7002923690137007E-2</v>
      </c>
      <c r="BU16" s="12">
        <v>0.1</v>
      </c>
      <c r="BV16" s="18">
        <f t="shared" si="20"/>
        <v>5.5742910931442687E-2</v>
      </c>
      <c r="BW16" s="10">
        <v>0.01</v>
      </c>
      <c r="BX16" s="17">
        <f t="shared" si="21"/>
        <v>5.5742910931442687E-3</v>
      </c>
      <c r="BY16" s="10">
        <v>0.4</v>
      </c>
      <c r="BZ16" s="17">
        <f t="shared" si="22"/>
        <v>0.22297164372577075</v>
      </c>
      <c r="CA16" s="10">
        <v>0.09</v>
      </c>
      <c r="CB16" s="17">
        <f t="shared" si="23"/>
        <v>5.0168619838298414E-2</v>
      </c>
      <c r="CC16" s="10">
        <v>0.15</v>
      </c>
      <c r="CD16" s="14">
        <f t="shared" si="24"/>
        <v>8.3614366397164033E-2</v>
      </c>
      <c r="CE16" s="21">
        <f t="shared" si="25"/>
        <v>81.37</v>
      </c>
      <c r="CF16" s="14">
        <f t="shared" si="26"/>
        <v>45.358006624914921</v>
      </c>
      <c r="CG16" s="10">
        <v>0.91900000000000004</v>
      </c>
      <c r="CH16" s="17">
        <f t="shared" si="27"/>
        <v>0.51227735145995834</v>
      </c>
      <c r="CI16" s="10">
        <f>AO16*0.432</f>
        <v>0.83030399999999993</v>
      </c>
      <c r="CJ16" s="14">
        <f t="shared" si="28"/>
        <v>0.46283561918020583</v>
      </c>
      <c r="CK16" s="10">
        <v>0</v>
      </c>
      <c r="CL16" s="14">
        <f t="shared" si="29"/>
        <v>0</v>
      </c>
      <c r="CM16" s="10">
        <v>0</v>
      </c>
      <c r="CN16" s="14">
        <f t="shared" si="30"/>
        <v>0</v>
      </c>
      <c r="CO16" s="10">
        <v>12.503</v>
      </c>
      <c r="CP16" s="14">
        <f t="shared" si="31"/>
        <v>6.9695361537582796</v>
      </c>
      <c r="CQ16" s="10">
        <v>3.375</v>
      </c>
      <c r="CR16" s="14">
        <f t="shared" si="32"/>
        <v>1.8813232439361909</v>
      </c>
      <c r="CS16" s="10">
        <v>2.3519999999999999</v>
      </c>
      <c r="CT16" s="14">
        <f t="shared" si="33"/>
        <v>1.3110732651075319</v>
      </c>
      <c r="CU16" s="10">
        <f t="shared" si="42"/>
        <v>70.864999999999995</v>
      </c>
      <c r="CV16" s="14">
        <f t="shared" si="35"/>
        <v>39.502213831566863</v>
      </c>
      <c r="CW16" s="11">
        <v>89.052999999999997</v>
      </c>
      <c r="CX16" s="20">
        <f t="shared" si="36"/>
        <v>49.640734471777655</v>
      </c>
      <c r="CY16" s="34"/>
      <c r="CZ16" s="34"/>
      <c r="DA16" s="34"/>
      <c r="DB16" s="34"/>
      <c r="DC16" s="140"/>
      <c r="DD16" s="140"/>
      <c r="DE16" s="140"/>
      <c r="DF16" s="140"/>
      <c r="DG16" s="140"/>
      <c r="DH16" s="140"/>
      <c r="DI16" s="140"/>
      <c r="DJ16" s="140"/>
      <c r="DK16" s="140"/>
      <c r="DL16" s="140"/>
      <c r="DM16" s="140"/>
      <c r="DN16" s="140"/>
      <c r="DO16" s="140"/>
      <c r="DP16" s="140"/>
      <c r="DQ16" s="140"/>
      <c r="DR16" s="140"/>
      <c r="DS16" s="140"/>
      <c r="DT16" s="140"/>
      <c r="DU16" s="140"/>
      <c r="DV16" s="140"/>
      <c r="DW16" s="140"/>
      <c r="DX16" s="140"/>
      <c r="DY16" s="140"/>
      <c r="DZ16" s="140"/>
      <c r="EA16" s="140"/>
      <c r="EB16" s="140"/>
      <c r="EC16" s="140"/>
      <c r="ED16" s="140"/>
      <c r="EE16" s="140"/>
      <c r="EF16" s="140"/>
      <c r="EG16" s="140"/>
      <c r="EH16" s="140"/>
      <c r="EI16" s="140"/>
      <c r="EJ16" s="140"/>
      <c r="EK16" s="140"/>
      <c r="EL16" s="140"/>
      <c r="EM16" s="140"/>
      <c r="EN16" s="140"/>
      <c r="EO16" s="140"/>
      <c r="EP16" s="140"/>
      <c r="EQ16" s="140"/>
      <c r="ER16" s="140"/>
      <c r="ES16" s="140"/>
      <c r="ET16" s="140"/>
      <c r="EU16" s="140"/>
      <c r="EV16" s="140"/>
      <c r="EW16" s="140"/>
      <c r="EX16" s="140"/>
    </row>
    <row r="17" spans="1:154" s="34" customFormat="1" x14ac:dyDescent="0.3">
      <c r="B17" s="61">
        <v>15000</v>
      </c>
      <c r="C17" s="56">
        <f t="shared" si="0"/>
        <v>0</v>
      </c>
      <c r="D17" s="76" t="s">
        <v>18</v>
      </c>
      <c r="E17" s="77">
        <f t="shared" si="37"/>
        <v>0</v>
      </c>
      <c r="F17" s="86">
        <v>0</v>
      </c>
      <c r="G17" s="86"/>
      <c r="H17" s="98"/>
      <c r="I17" s="99"/>
      <c r="J17" s="228">
        <f t="shared" si="38"/>
        <v>0</v>
      </c>
      <c r="K17" s="226">
        <f t="shared" si="39"/>
        <v>100</v>
      </c>
      <c r="L17" s="24"/>
      <c r="M17" s="83" t="s">
        <v>33</v>
      </c>
      <c r="N17" s="65" t="s">
        <v>43</v>
      </c>
      <c r="O17" s="121">
        <f>O12*0.74</f>
        <v>1.4059999999999999</v>
      </c>
      <c r="P17" s="95"/>
      <c r="Q17" s="233">
        <f t="shared" si="40"/>
        <v>1.4059999999999999</v>
      </c>
      <c r="R17" s="233">
        <f t="shared" si="41"/>
        <v>1000</v>
      </c>
      <c r="S17" s="65"/>
      <c r="T17" s="69">
        <f>SUM(BH5:BH41)</f>
        <v>1.4059999999999995</v>
      </c>
      <c r="U17" s="41"/>
      <c r="V17" s="113"/>
      <c r="W17" s="121">
        <f>W12*0.74</f>
        <v>1.4059999999999999</v>
      </c>
      <c r="X17" s="250"/>
      <c r="Y17" s="121">
        <f>Y12*0.74</f>
        <v>1.4059999999999999</v>
      </c>
      <c r="Z17" s="250"/>
      <c r="AA17" s="121">
        <f>AA12*0.74</f>
        <v>1.4059999999999999</v>
      </c>
      <c r="AB17" s="250"/>
      <c r="AC17" s="121">
        <f>AC12*0.74</f>
        <v>1.4059999999999999</v>
      </c>
      <c r="AD17" s="250"/>
      <c r="AE17" s="121">
        <f>AE12*0.74</f>
        <v>1.4059999999999999</v>
      </c>
      <c r="AF17" s="116"/>
      <c r="AG17" s="24"/>
      <c r="AH17" s="59" t="s">
        <v>18</v>
      </c>
      <c r="AI17" s="31">
        <v>1700</v>
      </c>
      <c r="AJ17" s="25">
        <f t="shared" si="1"/>
        <v>0</v>
      </c>
      <c r="AK17" s="26">
        <v>10.048999999999999</v>
      </c>
      <c r="AL17" s="27">
        <f t="shared" si="2"/>
        <v>0</v>
      </c>
      <c r="AM17" s="26">
        <v>2.4910000000000001</v>
      </c>
      <c r="AN17" s="28">
        <f t="shared" si="3"/>
        <v>0</v>
      </c>
      <c r="AO17" s="26">
        <v>2.4910000000000001</v>
      </c>
      <c r="AP17" s="29">
        <f t="shared" si="4"/>
        <v>0</v>
      </c>
      <c r="AQ17" s="26">
        <v>51.63</v>
      </c>
      <c r="AR17" s="29">
        <f t="shared" si="5"/>
        <v>0</v>
      </c>
      <c r="AS17" s="26">
        <v>4.4429999999999996</v>
      </c>
      <c r="AT17" s="29">
        <f t="shared" si="6"/>
        <v>0</v>
      </c>
      <c r="AU17" s="26">
        <v>2.5680000000000001</v>
      </c>
      <c r="AV17" s="29">
        <f t="shared" si="7"/>
        <v>0</v>
      </c>
      <c r="AW17" s="26">
        <f>AK17*0.024+0.125</f>
        <v>0.366176</v>
      </c>
      <c r="AX17" s="30">
        <f t="shared" si="8"/>
        <v>0</v>
      </c>
      <c r="AY17" s="26">
        <f>AK17*0.013+0.031</f>
        <v>0.16163699999999998</v>
      </c>
      <c r="AZ17" s="30">
        <f t="shared" si="9"/>
        <v>0</v>
      </c>
      <c r="BA17" s="26">
        <f>AK17*0.028+0.108</f>
        <v>0.389372</v>
      </c>
      <c r="BB17" s="30">
        <f t="shared" si="10"/>
        <v>0</v>
      </c>
      <c r="BC17" s="26">
        <f>AK17*0.027+0.06</f>
        <v>0.33132299999999998</v>
      </c>
      <c r="BD17" s="30">
        <f t="shared" si="11"/>
        <v>0</v>
      </c>
      <c r="BE17" s="26">
        <f>AK17*0.01+0.024</f>
        <v>0.12448999999999999</v>
      </c>
      <c r="BF17" s="30">
        <f t="shared" si="12"/>
        <v>0</v>
      </c>
      <c r="BG17" s="26">
        <f>AK17*0.041+0.096</f>
        <v>0.50800900000000004</v>
      </c>
      <c r="BH17" s="30">
        <f t="shared" si="13"/>
        <v>0</v>
      </c>
      <c r="BI17" s="26">
        <f>AK17*0.034-0.005</f>
        <v>0.33666600000000002</v>
      </c>
      <c r="BJ17" s="30">
        <f t="shared" si="14"/>
        <v>0</v>
      </c>
      <c r="BK17" s="26">
        <f>AK17*0.064+0.043</f>
        <v>0.68613599999999997</v>
      </c>
      <c r="BL17" s="30">
        <f t="shared" si="15"/>
        <v>0</v>
      </c>
      <c r="BM17" s="26">
        <f>AK17*0.043+0.06</f>
        <v>0.49210699999999996</v>
      </c>
      <c r="BN17" s="30">
        <f t="shared" si="16"/>
        <v>0</v>
      </c>
      <c r="BO17" s="26">
        <v>7.0000000000000007E-2</v>
      </c>
      <c r="BP17" s="30">
        <f t="shared" si="17"/>
        <v>0</v>
      </c>
      <c r="BQ17" s="26">
        <v>0.32379999999999998</v>
      </c>
      <c r="BR17" s="30">
        <f t="shared" si="18"/>
        <v>0</v>
      </c>
      <c r="BS17" s="26">
        <f>BQ17*0.3</f>
        <v>9.713999999999999E-2</v>
      </c>
      <c r="BT17" s="30">
        <f t="shared" si="19"/>
        <v>0</v>
      </c>
      <c r="BU17" s="26">
        <v>0.1</v>
      </c>
      <c r="BV17" s="30">
        <f t="shared" si="20"/>
        <v>0</v>
      </c>
      <c r="BW17" s="26">
        <v>0.01</v>
      </c>
      <c r="BX17" s="30">
        <f t="shared" si="21"/>
        <v>0</v>
      </c>
      <c r="BY17" s="26">
        <v>0.48</v>
      </c>
      <c r="BZ17" s="30">
        <f t="shared" si="22"/>
        <v>0</v>
      </c>
      <c r="CA17" s="26">
        <v>0.11</v>
      </c>
      <c r="CB17" s="30">
        <f t="shared" si="23"/>
        <v>0</v>
      </c>
      <c r="CC17" s="26">
        <v>0.13</v>
      </c>
      <c r="CD17" s="29">
        <f t="shared" si="24"/>
        <v>0</v>
      </c>
      <c r="CE17" s="31">
        <f t="shared" si="25"/>
        <v>96.21</v>
      </c>
      <c r="CF17" s="29">
        <f t="shared" si="26"/>
        <v>0</v>
      </c>
      <c r="CG17" s="26">
        <v>1.008</v>
      </c>
      <c r="CH17" s="30">
        <f t="shared" si="27"/>
        <v>0</v>
      </c>
      <c r="CI17" s="26">
        <f>AO17*0.4155</f>
        <v>1.0350105000000001</v>
      </c>
      <c r="CJ17" s="29">
        <f t="shared" si="28"/>
        <v>0</v>
      </c>
      <c r="CK17" s="26">
        <v>0</v>
      </c>
      <c r="CL17" s="29">
        <f t="shared" si="29"/>
        <v>0</v>
      </c>
      <c r="CM17" s="26">
        <v>0</v>
      </c>
      <c r="CN17" s="29">
        <f t="shared" si="30"/>
        <v>0</v>
      </c>
      <c r="CO17" s="26">
        <v>19.614999999999998</v>
      </c>
      <c r="CP17" s="29">
        <f t="shared" si="31"/>
        <v>0</v>
      </c>
      <c r="CQ17" s="26">
        <v>5.9160000000000004</v>
      </c>
      <c r="CR17" s="29">
        <f t="shared" si="32"/>
        <v>0</v>
      </c>
      <c r="CS17" s="26">
        <v>2.0019999999999998</v>
      </c>
      <c r="CT17" s="29">
        <f t="shared" si="33"/>
        <v>0</v>
      </c>
      <c r="CU17" s="38">
        <f t="shared" si="42"/>
        <v>69.328000000000003</v>
      </c>
      <c r="CV17" s="29">
        <f t="shared" si="35"/>
        <v>0</v>
      </c>
      <c r="CW17" s="32">
        <v>88.879000000000005</v>
      </c>
      <c r="CX17" s="33">
        <f t="shared" si="36"/>
        <v>0</v>
      </c>
      <c r="DC17" s="140"/>
      <c r="DD17" s="140"/>
      <c r="DE17" s="140"/>
      <c r="DF17" s="140"/>
      <c r="DG17" s="140"/>
      <c r="DH17" s="140"/>
      <c r="DI17" s="140"/>
      <c r="DJ17" s="140"/>
      <c r="DK17" s="140"/>
      <c r="DL17" s="140"/>
      <c r="DM17" s="140"/>
      <c r="DN17" s="140"/>
      <c r="DO17" s="140"/>
      <c r="DP17" s="140"/>
      <c r="DQ17" s="140"/>
      <c r="DR17" s="140"/>
      <c r="DS17" s="140"/>
      <c r="DT17" s="140"/>
      <c r="DU17" s="140"/>
      <c r="DV17" s="140"/>
      <c r="DW17" s="140"/>
      <c r="DX17" s="140"/>
      <c r="DY17" s="140"/>
      <c r="DZ17" s="140"/>
      <c r="EA17" s="140"/>
      <c r="EB17" s="140"/>
      <c r="EC17" s="140"/>
      <c r="ED17" s="140"/>
      <c r="EE17" s="140"/>
      <c r="EF17" s="140"/>
      <c r="EG17" s="140"/>
      <c r="EH17" s="140"/>
      <c r="EI17" s="140"/>
      <c r="EJ17" s="140"/>
      <c r="EK17" s="140"/>
      <c r="EL17" s="140"/>
      <c r="EM17" s="140"/>
      <c r="EN17" s="140"/>
      <c r="EO17" s="140"/>
      <c r="EP17" s="140"/>
      <c r="EQ17" s="140"/>
      <c r="ER17" s="140"/>
      <c r="ES17" s="140"/>
      <c r="ET17" s="140"/>
      <c r="EU17" s="140"/>
      <c r="EV17" s="140"/>
      <c r="EW17" s="140"/>
      <c r="EX17" s="140"/>
    </row>
    <row r="18" spans="1:154" s="1" customFormat="1" x14ac:dyDescent="0.3">
      <c r="A18" s="34"/>
      <c r="B18" s="62">
        <v>30000</v>
      </c>
      <c r="C18" s="55">
        <f>F18*B18%</f>
        <v>0</v>
      </c>
      <c r="D18" s="78" t="s">
        <v>19</v>
      </c>
      <c r="E18" s="79">
        <f t="shared" si="37"/>
        <v>0</v>
      </c>
      <c r="F18" s="87">
        <v>0</v>
      </c>
      <c r="G18" s="87"/>
      <c r="H18" s="100"/>
      <c r="I18" s="101">
        <v>0</v>
      </c>
      <c r="J18" s="228">
        <f t="shared" si="38"/>
        <v>0</v>
      </c>
      <c r="K18" s="226">
        <f t="shared" si="39"/>
        <v>0</v>
      </c>
      <c r="L18" s="24"/>
      <c r="M18" s="84" t="s">
        <v>39</v>
      </c>
      <c r="N18" s="66" t="s">
        <v>43</v>
      </c>
      <c r="O18" s="120">
        <f>O12*0.49</f>
        <v>0.93099999999999994</v>
      </c>
      <c r="P18" s="96"/>
      <c r="Q18" s="234">
        <f t="shared" si="40"/>
        <v>0.93099999999999994</v>
      </c>
      <c r="R18" s="234">
        <f t="shared" si="41"/>
        <v>1000</v>
      </c>
      <c r="S18" s="66"/>
      <c r="T18" s="68">
        <f>SUM(BJ5:BJ41)</f>
        <v>0.93099999999999994</v>
      </c>
      <c r="U18" s="41"/>
      <c r="V18" s="113"/>
      <c r="W18" s="120">
        <f>W12*0.49</f>
        <v>0.93099999999999994</v>
      </c>
      <c r="X18" s="250"/>
      <c r="Y18" s="120">
        <f>Y12*0.49</f>
        <v>0.93099999999999994</v>
      </c>
      <c r="Z18" s="250"/>
      <c r="AA18" s="120">
        <f>AA12*0.49</f>
        <v>0.93099999999999994</v>
      </c>
      <c r="AB18" s="250"/>
      <c r="AC18" s="120">
        <f>AC12*0.49</f>
        <v>0.93099999999999994</v>
      </c>
      <c r="AD18" s="250"/>
      <c r="AE18" s="120">
        <f>AE12*0.49</f>
        <v>0.93099999999999994</v>
      </c>
      <c r="AF18" s="116"/>
      <c r="AG18" s="24"/>
      <c r="AH18" s="60" t="s">
        <v>19</v>
      </c>
      <c r="AI18" s="21">
        <v>1450</v>
      </c>
      <c r="AJ18" s="6">
        <f t="shared" si="1"/>
        <v>0</v>
      </c>
      <c r="AK18" s="10">
        <v>8.2100000000000009</v>
      </c>
      <c r="AL18" s="7">
        <f t="shared" si="2"/>
        <v>0</v>
      </c>
      <c r="AM18" s="10">
        <v>1.17</v>
      </c>
      <c r="AN18" s="13">
        <f t="shared" si="3"/>
        <v>0</v>
      </c>
      <c r="AO18" s="10">
        <v>1.17</v>
      </c>
      <c r="AP18" s="14">
        <f t="shared" si="4"/>
        <v>0</v>
      </c>
      <c r="AQ18" s="10">
        <v>76.040000000000006</v>
      </c>
      <c r="AR18" s="14">
        <f t="shared" si="5"/>
        <v>0</v>
      </c>
      <c r="AS18" s="10">
        <v>0.47</v>
      </c>
      <c r="AT18" s="14">
        <f t="shared" si="6"/>
        <v>0</v>
      </c>
      <c r="AU18" s="10">
        <v>0.77</v>
      </c>
      <c r="AV18" s="14">
        <f t="shared" si="7"/>
        <v>0</v>
      </c>
      <c r="AW18" s="10">
        <f>AK18*0.034+0.008</f>
        <v>0.28714000000000006</v>
      </c>
      <c r="AX18" s="17">
        <f t="shared" si="8"/>
        <v>0</v>
      </c>
      <c r="AY18" s="10">
        <f>AK18*0.018+0.065</f>
        <v>0.21278</v>
      </c>
      <c r="AZ18" s="17">
        <f t="shared" si="9"/>
        <v>0</v>
      </c>
      <c r="BA18" s="10">
        <f>AK18*0.038+0.088</f>
        <v>0.39998</v>
      </c>
      <c r="BB18" s="17">
        <f t="shared" si="10"/>
        <v>0</v>
      </c>
      <c r="BC18" s="10">
        <f>AK18*0.034+0.002</f>
        <v>0.28114000000000006</v>
      </c>
      <c r="BD18" s="17">
        <f t="shared" si="11"/>
        <v>0</v>
      </c>
      <c r="BE18" s="10">
        <f>AK18*0.011+0.014</f>
        <v>0.10431</v>
      </c>
      <c r="BF18" s="17">
        <f t="shared" si="12"/>
        <v>0</v>
      </c>
      <c r="BG18" s="10">
        <f>AK18*0.08-0.03</f>
        <v>0.62680000000000002</v>
      </c>
      <c r="BH18" s="17">
        <f t="shared" si="13"/>
        <v>0</v>
      </c>
      <c r="BI18" s="10">
        <f>AK18*0.037+0.016</f>
        <v>0.31977000000000005</v>
      </c>
      <c r="BJ18" s="17">
        <f t="shared" si="14"/>
        <v>0</v>
      </c>
      <c r="BK18" s="10">
        <f>AK18*0.075+0.021</f>
        <v>0.63675000000000004</v>
      </c>
      <c r="BL18" s="17">
        <f t="shared" si="15"/>
        <v>0</v>
      </c>
      <c r="BM18" s="10">
        <f>AK18*0.054+0.02</f>
        <v>0.46334000000000009</v>
      </c>
      <c r="BN18" s="17">
        <f t="shared" si="16"/>
        <v>0</v>
      </c>
      <c r="BO18" s="10">
        <v>0.05</v>
      </c>
      <c r="BP18" s="17">
        <f t="shared" si="17"/>
        <v>0</v>
      </c>
      <c r="BQ18" s="10">
        <v>0.13</v>
      </c>
      <c r="BR18" s="17">
        <f t="shared" si="18"/>
        <v>0</v>
      </c>
      <c r="BS18" s="10">
        <f>BQ18*0.46</f>
        <v>5.9800000000000006E-2</v>
      </c>
      <c r="BT18" s="17">
        <f t="shared" si="19"/>
        <v>0</v>
      </c>
      <c r="BU18" s="12">
        <v>0.04</v>
      </c>
      <c r="BV18" s="18">
        <f t="shared" si="20"/>
        <v>0</v>
      </c>
      <c r="BW18" s="10">
        <v>4.0000000000000001E-3</v>
      </c>
      <c r="BX18" s="17">
        <f t="shared" si="21"/>
        <v>0</v>
      </c>
      <c r="BY18" s="10">
        <v>0.31</v>
      </c>
      <c r="BZ18" s="17">
        <f t="shared" si="22"/>
        <v>0</v>
      </c>
      <c r="CA18" s="10">
        <v>0.04</v>
      </c>
      <c r="CB18" s="17">
        <f t="shared" si="23"/>
        <v>0</v>
      </c>
      <c r="CC18" s="10">
        <v>0.08</v>
      </c>
      <c r="CD18" s="14">
        <f t="shared" si="24"/>
        <v>0</v>
      </c>
      <c r="CE18" s="21">
        <f t="shared" si="25"/>
        <v>69.819999999999993</v>
      </c>
      <c r="CF18" s="14">
        <f t="shared" si="26"/>
        <v>0</v>
      </c>
      <c r="CG18" s="10">
        <v>0.97399999999999998</v>
      </c>
      <c r="CH18" s="17">
        <f t="shared" si="27"/>
        <v>0</v>
      </c>
      <c r="CI18" s="10">
        <f>AO18*0.323</f>
        <v>0.37790999999999997</v>
      </c>
      <c r="CJ18" s="14">
        <f t="shared" si="28"/>
        <v>0</v>
      </c>
      <c r="CK18" s="10">
        <v>0</v>
      </c>
      <c r="CL18" s="14">
        <f t="shared" si="29"/>
        <v>0</v>
      </c>
      <c r="CM18" s="10">
        <v>0</v>
      </c>
      <c r="CN18" s="14">
        <f t="shared" si="30"/>
        <v>0</v>
      </c>
      <c r="CO18" s="10">
        <v>4.7300000000000004</v>
      </c>
      <c r="CP18" s="14">
        <f t="shared" si="31"/>
        <v>0</v>
      </c>
      <c r="CQ18" s="10">
        <v>1.19</v>
      </c>
      <c r="CR18" s="14">
        <f t="shared" si="32"/>
        <v>0</v>
      </c>
      <c r="CS18" s="10">
        <v>0.48</v>
      </c>
      <c r="CT18" s="14">
        <f t="shared" si="33"/>
        <v>0</v>
      </c>
      <c r="CU18" s="10">
        <f t="shared" si="42"/>
        <v>77.38</v>
      </c>
      <c r="CV18" s="14">
        <f t="shared" si="35"/>
        <v>0</v>
      </c>
      <c r="CW18" s="11">
        <v>88</v>
      </c>
      <c r="CX18" s="20">
        <f t="shared" si="36"/>
        <v>0</v>
      </c>
      <c r="CY18" s="34"/>
      <c r="CZ18" s="34"/>
      <c r="DA18" s="34"/>
      <c r="DB18" s="34"/>
      <c r="DC18" s="140"/>
      <c r="DD18" s="140"/>
      <c r="DE18" s="140"/>
      <c r="DF18" s="140"/>
      <c r="DG18" s="140"/>
      <c r="DH18" s="140"/>
      <c r="DI18" s="140"/>
      <c r="DJ18" s="140"/>
      <c r="DK18" s="140"/>
      <c r="DL18" s="140"/>
      <c r="DM18" s="140"/>
      <c r="DN18" s="140"/>
      <c r="DO18" s="140"/>
      <c r="DP18" s="140"/>
      <c r="DQ18" s="140"/>
      <c r="DR18" s="140"/>
      <c r="DS18" s="140"/>
      <c r="DT18" s="140"/>
      <c r="DU18" s="140"/>
      <c r="DV18" s="140"/>
      <c r="DW18" s="140"/>
      <c r="DX18" s="140"/>
      <c r="DY18" s="140"/>
      <c r="DZ18" s="140"/>
      <c r="EA18" s="140"/>
      <c r="EB18" s="140"/>
      <c r="EC18" s="140"/>
      <c r="ED18" s="140"/>
      <c r="EE18" s="140"/>
      <c r="EF18" s="140"/>
      <c r="EG18" s="140"/>
      <c r="EH18" s="140"/>
      <c r="EI18" s="140"/>
      <c r="EJ18" s="140"/>
      <c r="EK18" s="140"/>
      <c r="EL18" s="140"/>
      <c r="EM18" s="140"/>
      <c r="EN18" s="140"/>
      <c r="EO18" s="140"/>
      <c r="EP18" s="140"/>
      <c r="EQ18" s="140"/>
      <c r="ER18" s="140"/>
      <c r="ES18" s="140"/>
      <c r="ET18" s="140"/>
      <c r="EU18" s="140"/>
      <c r="EV18" s="140"/>
      <c r="EW18" s="140"/>
      <c r="EX18" s="140"/>
    </row>
    <row r="19" spans="1:154" s="34" customFormat="1" x14ac:dyDescent="0.3">
      <c r="B19" s="61">
        <v>25000</v>
      </c>
      <c r="C19" s="56">
        <f t="shared" si="0"/>
        <v>0</v>
      </c>
      <c r="D19" s="76" t="s">
        <v>20</v>
      </c>
      <c r="E19" s="77">
        <f t="shared" si="37"/>
        <v>0</v>
      </c>
      <c r="F19" s="86">
        <v>0</v>
      </c>
      <c r="G19" s="86"/>
      <c r="H19" s="98"/>
      <c r="I19" s="99">
        <v>0</v>
      </c>
      <c r="J19" s="228">
        <f t="shared" si="38"/>
        <v>0</v>
      </c>
      <c r="K19" s="226">
        <f t="shared" si="39"/>
        <v>0</v>
      </c>
      <c r="L19" s="24"/>
      <c r="M19" s="83" t="s">
        <v>32</v>
      </c>
      <c r="N19" s="65" t="s">
        <v>43</v>
      </c>
      <c r="O19" s="121">
        <f>O12*0.61</f>
        <v>1.159</v>
      </c>
      <c r="P19" s="95"/>
      <c r="Q19" s="233">
        <f t="shared" si="40"/>
        <v>1.159</v>
      </c>
      <c r="R19" s="233">
        <f t="shared" si="41"/>
        <v>1000</v>
      </c>
      <c r="S19" s="65"/>
      <c r="T19" s="69">
        <f>SUM(BN5:BN41)</f>
        <v>1.2240490438399145</v>
      </c>
      <c r="U19" s="41"/>
      <c r="V19" s="113"/>
      <c r="W19" s="121">
        <f>W12*0.61</f>
        <v>1.159</v>
      </c>
      <c r="X19" s="250"/>
      <c r="Y19" s="121">
        <f>Y12*0.61</f>
        <v>1.159</v>
      </c>
      <c r="Z19" s="250"/>
      <c r="AA19" s="121">
        <f>AA12*0.61</f>
        <v>1.159</v>
      </c>
      <c r="AB19" s="250"/>
      <c r="AC19" s="121">
        <f>AC12*0.61</f>
        <v>1.159</v>
      </c>
      <c r="AD19" s="250"/>
      <c r="AE19" s="121">
        <f>AE12*0.61</f>
        <v>1.159</v>
      </c>
      <c r="AF19" s="116"/>
      <c r="AG19" s="24"/>
      <c r="AH19" s="59" t="s">
        <v>20</v>
      </c>
      <c r="AI19" s="31">
        <v>4060</v>
      </c>
      <c r="AJ19" s="25">
        <f t="shared" si="1"/>
        <v>0</v>
      </c>
      <c r="AK19" s="26">
        <v>34.634</v>
      </c>
      <c r="AL19" s="27">
        <f t="shared" si="2"/>
        <v>0</v>
      </c>
      <c r="AM19" s="26">
        <v>18.672000000000001</v>
      </c>
      <c r="AN19" s="28">
        <f t="shared" si="3"/>
        <v>0</v>
      </c>
      <c r="AO19" s="26">
        <v>18.672000000000001</v>
      </c>
      <c r="AP19" s="29">
        <f t="shared" si="4"/>
        <v>0</v>
      </c>
      <c r="AQ19" s="26">
        <v>0.57199999999999995</v>
      </c>
      <c r="AR19" s="29">
        <f t="shared" si="5"/>
        <v>0</v>
      </c>
      <c r="AS19" s="26">
        <v>5.2060000000000004</v>
      </c>
      <c r="AT19" s="29">
        <f t="shared" si="6"/>
        <v>0</v>
      </c>
      <c r="AU19" s="26">
        <v>5.0709999999999997</v>
      </c>
      <c r="AV19" s="29">
        <f t="shared" si="7"/>
        <v>0</v>
      </c>
      <c r="AW19" s="26">
        <f>AK19*0.049+0.468</f>
        <v>2.1650660000000004</v>
      </c>
      <c r="AX19" s="30">
        <f t="shared" si="8"/>
        <v>0</v>
      </c>
      <c r="AY19" s="26">
        <f>AK19*0.0135</f>
        <v>0.467559</v>
      </c>
      <c r="AZ19" s="30">
        <f t="shared" si="9"/>
        <v>0</v>
      </c>
      <c r="BA19" s="26">
        <f>AK19*0.029</f>
        <v>1.004386</v>
      </c>
      <c r="BB19" s="30">
        <f t="shared" si="10"/>
        <v>0</v>
      </c>
      <c r="BC19" s="26">
        <f>AK19*0.029+0.346</f>
        <v>1.3503859999999999</v>
      </c>
      <c r="BD19" s="30">
        <f t="shared" si="11"/>
        <v>0</v>
      </c>
      <c r="BE19" s="26">
        <f>AK19*0.009+0.162</f>
        <v>0.47370599999999996</v>
      </c>
      <c r="BF19" s="30">
        <f t="shared" si="12"/>
        <v>0</v>
      </c>
      <c r="BG19" s="26">
        <f>AK19*0.084-0.374</f>
        <v>2.535256</v>
      </c>
      <c r="BH19" s="30">
        <f t="shared" si="13"/>
        <v>0</v>
      </c>
      <c r="BI19" s="26">
        <f>AK19*0.043+0.086</f>
        <v>1.5752619999999999</v>
      </c>
      <c r="BJ19" s="30">
        <f t="shared" si="14"/>
        <v>0</v>
      </c>
      <c r="BK19" s="26">
        <f>AK19*0.072+0.138</f>
        <v>2.6316479999999998</v>
      </c>
      <c r="BL19" s="30">
        <f t="shared" si="15"/>
        <v>0</v>
      </c>
      <c r="BM19" s="26">
        <f>AK19*0.041+0.228</f>
        <v>1.647994</v>
      </c>
      <c r="BN19" s="30">
        <f t="shared" si="16"/>
        <v>0</v>
      </c>
      <c r="BO19" s="26">
        <v>0.31</v>
      </c>
      <c r="BP19" s="30">
        <f t="shared" si="17"/>
        <v>0</v>
      </c>
      <c r="BQ19" s="26">
        <v>0.4708</v>
      </c>
      <c r="BR19" s="30">
        <f t="shared" si="18"/>
        <v>0</v>
      </c>
      <c r="BS19" s="26">
        <f>BQ19*0.323</f>
        <v>0.15206839999999999</v>
      </c>
      <c r="BT19" s="30">
        <f t="shared" si="19"/>
        <v>0</v>
      </c>
      <c r="BU19" s="26">
        <v>0.21</v>
      </c>
      <c r="BV19" s="30">
        <f t="shared" si="20"/>
        <v>0</v>
      </c>
      <c r="BW19" s="26">
        <v>0.08</v>
      </c>
      <c r="BX19" s="30">
        <f t="shared" si="21"/>
        <v>0</v>
      </c>
      <c r="BY19" s="26">
        <v>1.85</v>
      </c>
      <c r="BZ19" s="30">
        <f t="shared" si="22"/>
        <v>0</v>
      </c>
      <c r="CA19" s="26">
        <v>0.04</v>
      </c>
      <c r="CB19" s="30">
        <f t="shared" si="23"/>
        <v>0</v>
      </c>
      <c r="CC19" s="26">
        <v>0.28000000000000003</v>
      </c>
      <c r="CD19" s="29">
        <f t="shared" si="24"/>
        <v>0</v>
      </c>
      <c r="CE19" s="31">
        <f t="shared" si="25"/>
        <v>497.12000000000006</v>
      </c>
      <c r="CF19" s="29">
        <f t="shared" si="26"/>
        <v>0</v>
      </c>
      <c r="CG19" s="26">
        <v>2.1190000000000002</v>
      </c>
      <c r="CH19" s="30">
        <f t="shared" si="27"/>
        <v>0</v>
      </c>
      <c r="CI19" s="26">
        <f>AO19*0.50445</f>
        <v>9.4190904</v>
      </c>
      <c r="CJ19" s="29">
        <f t="shared" si="28"/>
        <v>0</v>
      </c>
      <c r="CK19" s="26">
        <v>1.26</v>
      </c>
      <c r="CL19" s="29">
        <f t="shared" si="29"/>
        <v>0</v>
      </c>
      <c r="CM19" s="26">
        <v>0</v>
      </c>
      <c r="CN19" s="29">
        <f t="shared" si="30"/>
        <v>0</v>
      </c>
      <c r="CO19" s="26">
        <v>11.09</v>
      </c>
      <c r="CP19" s="29">
        <f t="shared" si="31"/>
        <v>0</v>
      </c>
      <c r="CQ19" s="26">
        <v>7.0330000000000004</v>
      </c>
      <c r="CR19" s="29">
        <f t="shared" si="32"/>
        <v>0</v>
      </c>
      <c r="CS19" s="26">
        <v>7.4080000000000004</v>
      </c>
      <c r="CT19" s="29">
        <f t="shared" si="33"/>
        <v>0</v>
      </c>
      <c r="CU19" s="26">
        <f t="shared" si="42"/>
        <v>26.849000000000004</v>
      </c>
      <c r="CV19" s="29">
        <f t="shared" si="35"/>
        <v>0</v>
      </c>
      <c r="CW19" s="32">
        <v>90.432000000000002</v>
      </c>
      <c r="CX19" s="33">
        <f t="shared" si="36"/>
        <v>0</v>
      </c>
      <c r="DC19" s="140"/>
      <c r="DD19" s="140"/>
      <c r="DE19" s="140"/>
      <c r="DF19" s="140"/>
      <c r="DG19" s="140"/>
      <c r="DH19" s="140"/>
      <c r="DI19" s="140"/>
      <c r="DJ19" s="140"/>
      <c r="DK19" s="140"/>
      <c r="DL19" s="140"/>
      <c r="DM19" s="140"/>
      <c r="DN19" s="140"/>
      <c r="DO19" s="140"/>
      <c r="DP19" s="140"/>
      <c r="DQ19" s="140"/>
      <c r="DR19" s="140"/>
      <c r="DS19" s="140"/>
      <c r="DT19" s="140"/>
      <c r="DU19" s="140"/>
      <c r="DV19" s="140"/>
      <c r="DW19" s="140"/>
      <c r="DX19" s="140"/>
      <c r="DY19" s="140"/>
      <c r="DZ19" s="140"/>
      <c r="EA19" s="140"/>
      <c r="EB19" s="140"/>
      <c r="EC19" s="140"/>
      <c r="ED19" s="140"/>
      <c r="EE19" s="140"/>
      <c r="EF19" s="140"/>
      <c r="EG19" s="140"/>
      <c r="EH19" s="140"/>
      <c r="EI19" s="140"/>
      <c r="EJ19" s="140"/>
      <c r="EK19" s="140"/>
      <c r="EL19" s="140"/>
      <c r="EM19" s="140"/>
      <c r="EN19" s="140"/>
      <c r="EO19" s="140"/>
      <c r="EP19" s="140"/>
      <c r="EQ19" s="140"/>
      <c r="ER19" s="140"/>
      <c r="ES19" s="140"/>
      <c r="ET19" s="140"/>
      <c r="EU19" s="140"/>
      <c r="EV19" s="140"/>
      <c r="EW19" s="140"/>
      <c r="EX19" s="140"/>
    </row>
    <row r="20" spans="1:154" s="34" customFormat="1" x14ac:dyDescent="0.3">
      <c r="B20" s="62">
        <v>18000</v>
      </c>
      <c r="C20" s="55">
        <f t="shared" si="0"/>
        <v>1309.57196249346</v>
      </c>
      <c r="D20" s="78" t="s">
        <v>21</v>
      </c>
      <c r="E20" s="79">
        <f t="shared" si="37"/>
        <v>72.753997916303334</v>
      </c>
      <c r="F20" s="87">
        <v>7.275399791630333</v>
      </c>
      <c r="G20" s="87"/>
      <c r="H20" s="100"/>
      <c r="I20" s="101">
        <v>20</v>
      </c>
      <c r="J20" s="228">
        <f t="shared" si="38"/>
        <v>0</v>
      </c>
      <c r="K20" s="226">
        <f t="shared" si="39"/>
        <v>20</v>
      </c>
      <c r="L20" s="24"/>
      <c r="M20" s="84" t="s">
        <v>49</v>
      </c>
      <c r="N20" s="66" t="s">
        <v>43</v>
      </c>
      <c r="O20" s="119">
        <v>1</v>
      </c>
      <c r="P20" s="96">
        <v>1</v>
      </c>
      <c r="Q20" s="234">
        <f t="shared" si="40"/>
        <v>1</v>
      </c>
      <c r="R20" s="234">
        <f t="shared" si="41"/>
        <v>1</v>
      </c>
      <c r="S20" s="66"/>
      <c r="T20" s="68">
        <f>SUM(BP5:BP41)</f>
        <v>0.99999999999999512</v>
      </c>
      <c r="U20" s="41"/>
      <c r="V20" s="113"/>
      <c r="W20" s="119">
        <v>1</v>
      </c>
      <c r="X20" s="249"/>
      <c r="Y20" s="119">
        <v>1</v>
      </c>
      <c r="Z20" s="249"/>
      <c r="AA20" s="119">
        <v>1</v>
      </c>
      <c r="AB20" s="249"/>
      <c r="AC20" s="119">
        <v>1</v>
      </c>
      <c r="AD20" s="249"/>
      <c r="AE20" s="119">
        <v>1</v>
      </c>
      <c r="AF20" s="116"/>
      <c r="AG20" s="24"/>
      <c r="AH20" s="60" t="s">
        <v>21</v>
      </c>
      <c r="AI20" s="21">
        <v>3100</v>
      </c>
      <c r="AJ20" s="6">
        <f t="shared" si="1"/>
        <v>225.53739354054034</v>
      </c>
      <c r="AK20" s="10">
        <v>45</v>
      </c>
      <c r="AL20" s="7">
        <f t="shared" si="2"/>
        <v>3.2739299062336498</v>
      </c>
      <c r="AM20" s="10">
        <v>1.671</v>
      </c>
      <c r="AN20" s="13">
        <f t="shared" si="3"/>
        <v>0.12157193051814286</v>
      </c>
      <c r="AO20" s="10">
        <v>1.671</v>
      </c>
      <c r="AP20" s="14">
        <f t="shared" si="4"/>
        <v>0.12157193051814286</v>
      </c>
      <c r="AQ20" s="10">
        <v>0.56299999999999994</v>
      </c>
      <c r="AR20" s="14">
        <f t="shared" si="5"/>
        <v>4.0960500826878771E-2</v>
      </c>
      <c r="AS20" s="10">
        <v>4.5209999999999999</v>
      </c>
      <c r="AT20" s="14">
        <f t="shared" si="6"/>
        <v>0.32892082457960736</v>
      </c>
      <c r="AU20" s="10">
        <v>6.4749999999999996</v>
      </c>
      <c r="AV20" s="14">
        <f t="shared" si="7"/>
        <v>0.47108213650806408</v>
      </c>
      <c r="AW20" s="10">
        <f>AK20*0.0605</f>
        <v>2.7225000000000001</v>
      </c>
      <c r="AX20" s="17">
        <f t="shared" si="8"/>
        <v>0.19807275932713583</v>
      </c>
      <c r="AY20" s="10">
        <f>AK20*0.0133</f>
        <v>0.59849999999999992</v>
      </c>
      <c r="AZ20" s="17">
        <f t="shared" si="9"/>
        <v>4.3543267752907538E-2</v>
      </c>
      <c r="BA20" s="10">
        <f>AK20*0.0275</f>
        <v>1.2375</v>
      </c>
      <c r="BB20" s="17">
        <f t="shared" si="10"/>
        <v>9.0033072421425372E-2</v>
      </c>
      <c r="BC20" s="10">
        <f>AK20*0.036+0.143</f>
        <v>1.7629999999999999</v>
      </c>
      <c r="BD20" s="17">
        <f t="shared" si="11"/>
        <v>0.12826529832644276</v>
      </c>
      <c r="BE20" s="10">
        <f>AK20*0.01+0.153</f>
        <v>0.60299999999999998</v>
      </c>
      <c r="BF20" s="17">
        <f t="shared" si="12"/>
        <v>4.3870660743530909E-2</v>
      </c>
      <c r="BG20" s="10">
        <f>AK20*0.061+0.525</f>
        <v>3.27</v>
      </c>
      <c r="BH20" s="17">
        <f t="shared" si="13"/>
        <v>0.23790557318631189</v>
      </c>
      <c r="BI20" s="10">
        <f>AK20*0.049-0.162</f>
        <v>2.0430000000000001</v>
      </c>
      <c r="BJ20" s="17">
        <f t="shared" si="14"/>
        <v>0.1486364177430077</v>
      </c>
      <c r="BK20" s="10">
        <f>AK20*0.077-0.043</f>
        <v>3.4219999999999997</v>
      </c>
      <c r="BL20" s="17">
        <f t="shared" si="15"/>
        <v>0.24896418086958999</v>
      </c>
      <c r="BM20" s="10">
        <f>AK20*0.046+0.053</f>
        <v>2.1229999999999998</v>
      </c>
      <c r="BN20" s="17">
        <f t="shared" si="16"/>
        <v>0.15445673757631195</v>
      </c>
      <c r="BO20" s="10">
        <v>0.32</v>
      </c>
      <c r="BP20" s="17">
        <f t="shared" si="17"/>
        <v>2.3281279333217067E-2</v>
      </c>
      <c r="BQ20" s="10">
        <v>0.61399999999999999</v>
      </c>
      <c r="BR20" s="17">
        <f t="shared" si="18"/>
        <v>4.4670954720610244E-2</v>
      </c>
      <c r="BS20" s="10">
        <f>BQ20*0.323</f>
        <v>0.198322</v>
      </c>
      <c r="BT20" s="17">
        <f t="shared" si="19"/>
        <v>1.4428718374757109E-2</v>
      </c>
      <c r="BU20" s="12">
        <v>0.28999999999999998</v>
      </c>
      <c r="BV20" s="18">
        <f t="shared" si="20"/>
        <v>2.1098659395727963E-2</v>
      </c>
      <c r="BW20" s="10">
        <v>0.02</v>
      </c>
      <c r="BX20" s="17">
        <f t="shared" si="21"/>
        <v>1.4550799583260667E-3</v>
      </c>
      <c r="BY20" s="10">
        <v>2.0499999999999998</v>
      </c>
      <c r="BZ20" s="17">
        <f t="shared" si="22"/>
        <v>0.14914569572842182</v>
      </c>
      <c r="CA20" s="10">
        <v>0.04</v>
      </c>
      <c r="CB20" s="17">
        <f t="shared" si="23"/>
        <v>2.9101599166521334E-3</v>
      </c>
      <c r="CC20" s="10">
        <v>0.4</v>
      </c>
      <c r="CD20" s="14">
        <f t="shared" si="24"/>
        <v>2.9101599166521334E-2</v>
      </c>
      <c r="CE20" s="21">
        <f t="shared" si="25"/>
        <v>522.22</v>
      </c>
      <c r="CF20" s="14">
        <f t="shared" si="26"/>
        <v>37.993592791851924</v>
      </c>
      <c r="CG20" s="10">
        <v>2.7890000000000001</v>
      </c>
      <c r="CH20" s="17">
        <f t="shared" si="27"/>
        <v>0.20291090018857</v>
      </c>
      <c r="CI20" s="10">
        <f>AO20*0.39825</f>
        <v>0.66547575000000003</v>
      </c>
      <c r="CJ20" s="14">
        <f t="shared" si="28"/>
        <v>4.8416021328850402E-2</v>
      </c>
      <c r="CK20" s="10">
        <v>0.09</v>
      </c>
      <c r="CL20" s="14">
        <f t="shared" si="29"/>
        <v>6.5478598124672997E-3</v>
      </c>
      <c r="CM20" s="10">
        <v>0</v>
      </c>
      <c r="CN20" s="14">
        <f t="shared" si="30"/>
        <v>0</v>
      </c>
      <c r="CO20" s="10">
        <v>10.161</v>
      </c>
      <c r="CP20" s="14">
        <f t="shared" si="31"/>
        <v>0.7392533728275581</v>
      </c>
      <c r="CQ20" s="10">
        <v>6.1749999999999998</v>
      </c>
      <c r="CR20" s="14">
        <f t="shared" si="32"/>
        <v>0.44925593713317308</v>
      </c>
      <c r="CS20" s="10">
        <v>8.9390000000000001</v>
      </c>
      <c r="CT20" s="14">
        <f t="shared" si="33"/>
        <v>0.65034798737383548</v>
      </c>
      <c r="CU20" s="10">
        <f t="shared" si="42"/>
        <v>31.22</v>
      </c>
      <c r="CV20" s="14">
        <f t="shared" si="35"/>
        <v>2.2713798149469899</v>
      </c>
      <c r="CW20" s="11">
        <v>88.887</v>
      </c>
      <c r="CX20" s="20">
        <f t="shared" si="36"/>
        <v>6.4668846127864548</v>
      </c>
      <c r="DC20" s="140"/>
      <c r="DD20" s="140"/>
      <c r="DE20" s="140"/>
      <c r="DF20" s="140"/>
      <c r="DG20" s="140"/>
      <c r="DH20" s="140"/>
      <c r="DI20" s="140"/>
      <c r="DJ20" s="140"/>
      <c r="DK20" s="140"/>
      <c r="DL20" s="140"/>
      <c r="DM20" s="140"/>
      <c r="DN20" s="140"/>
      <c r="DO20" s="140"/>
      <c r="DP20" s="140"/>
      <c r="DQ20" s="140"/>
      <c r="DR20" s="140"/>
      <c r="DS20" s="140"/>
      <c r="DT20" s="140"/>
      <c r="DU20" s="140"/>
      <c r="DV20" s="140"/>
      <c r="DW20" s="140"/>
      <c r="DX20" s="140"/>
      <c r="DY20" s="140"/>
      <c r="DZ20" s="140"/>
      <c r="EA20" s="140"/>
      <c r="EB20" s="140"/>
      <c r="EC20" s="140"/>
      <c r="ED20" s="140"/>
      <c r="EE20" s="140"/>
      <c r="EF20" s="140"/>
      <c r="EG20" s="140"/>
      <c r="EH20" s="140"/>
      <c r="EI20" s="140"/>
      <c r="EJ20" s="140"/>
      <c r="EK20" s="140"/>
      <c r="EL20" s="140"/>
      <c r="EM20" s="140"/>
      <c r="EN20" s="140"/>
      <c r="EO20" s="140"/>
      <c r="EP20" s="140"/>
      <c r="EQ20" s="140"/>
      <c r="ER20" s="140"/>
      <c r="ES20" s="140"/>
      <c r="ET20" s="140"/>
      <c r="EU20" s="140"/>
      <c r="EV20" s="140"/>
      <c r="EW20" s="140"/>
      <c r="EX20" s="140"/>
    </row>
    <row r="21" spans="1:154" s="1" customFormat="1" x14ac:dyDescent="0.3">
      <c r="A21" s="34"/>
      <c r="B21" s="61">
        <v>30000</v>
      </c>
      <c r="C21" s="56">
        <f t="shared" si="0"/>
        <v>0</v>
      </c>
      <c r="D21" s="76" t="s">
        <v>22</v>
      </c>
      <c r="E21" s="77">
        <f t="shared" si="37"/>
        <v>0</v>
      </c>
      <c r="F21" s="86">
        <v>0</v>
      </c>
      <c r="G21" s="86"/>
      <c r="H21" s="98"/>
      <c r="I21" s="99">
        <v>0</v>
      </c>
      <c r="J21" s="228">
        <f t="shared" si="38"/>
        <v>0</v>
      </c>
      <c r="K21" s="226">
        <f t="shared" si="39"/>
        <v>0</v>
      </c>
      <c r="L21" s="24"/>
      <c r="M21" s="83" t="s">
        <v>50</v>
      </c>
      <c r="N21" s="65" t="s">
        <v>43</v>
      </c>
      <c r="O21" s="65"/>
      <c r="P21" s="95"/>
      <c r="Q21" s="233">
        <f t="shared" si="40"/>
        <v>0</v>
      </c>
      <c r="R21" s="233">
        <f t="shared" si="41"/>
        <v>1000</v>
      </c>
      <c r="S21" s="65"/>
      <c r="T21" s="69">
        <f>SUM(BT5:BT41)</f>
        <v>0.35811549949690197</v>
      </c>
      <c r="U21" s="41"/>
      <c r="V21" s="113"/>
      <c r="W21" s="121"/>
      <c r="X21" s="250"/>
      <c r="Y21" s="121"/>
      <c r="Z21" s="250"/>
      <c r="AA21" s="121"/>
      <c r="AB21" s="250"/>
      <c r="AC21" s="121"/>
      <c r="AD21" s="250"/>
      <c r="AE21" s="121"/>
      <c r="AF21" s="116"/>
      <c r="AG21" s="36"/>
      <c r="AH21" s="59" t="s">
        <v>22</v>
      </c>
      <c r="AI21" s="31">
        <v>3490</v>
      </c>
      <c r="AJ21" s="25">
        <f t="shared" si="1"/>
        <v>0</v>
      </c>
      <c r="AK21" s="26">
        <v>60</v>
      </c>
      <c r="AL21" s="27">
        <f t="shared" si="2"/>
        <v>0</v>
      </c>
      <c r="AM21" s="26">
        <v>1.1499999999999999</v>
      </c>
      <c r="AN21" s="28">
        <f t="shared" si="3"/>
        <v>0</v>
      </c>
      <c r="AO21" s="26">
        <v>1.1499999999999999</v>
      </c>
      <c r="AP21" s="29">
        <f t="shared" si="4"/>
        <v>0</v>
      </c>
      <c r="AQ21" s="26">
        <v>0.78</v>
      </c>
      <c r="AR21" s="29">
        <f t="shared" si="5"/>
        <v>0</v>
      </c>
      <c r="AS21" s="26">
        <v>3.9</v>
      </c>
      <c r="AT21" s="29">
        <f t="shared" si="6"/>
        <v>0</v>
      </c>
      <c r="AU21" s="26">
        <v>5.92</v>
      </c>
      <c r="AV21" s="29">
        <f t="shared" si="7"/>
        <v>0</v>
      </c>
      <c r="AW21" s="26">
        <f>AK21*0.072-0.577</f>
        <v>3.7429999999999994</v>
      </c>
      <c r="AX21" s="30">
        <f t="shared" si="8"/>
        <v>0</v>
      </c>
      <c r="AY21" s="26">
        <f>AK21*0.016-0.124</f>
        <v>0.83599999999999997</v>
      </c>
      <c r="AZ21" s="30">
        <f t="shared" si="9"/>
        <v>0</v>
      </c>
      <c r="BA21" s="26">
        <f>AK21*0.028-0.065</f>
        <v>1.615</v>
      </c>
      <c r="BB21" s="30">
        <f t="shared" si="10"/>
        <v>0</v>
      </c>
      <c r="BC21" s="26">
        <f>AK21*0.042-0.145</f>
        <v>2.375</v>
      </c>
      <c r="BD21" s="30">
        <f t="shared" si="11"/>
        <v>0</v>
      </c>
      <c r="BE21" s="26">
        <f>AK21*0.011+0.127</f>
        <v>0.78699999999999992</v>
      </c>
      <c r="BF21" s="30">
        <f t="shared" si="12"/>
        <v>0</v>
      </c>
      <c r="BG21" s="26">
        <f>AK21*0.08-0.361</f>
        <v>4.4390000000000001</v>
      </c>
      <c r="BH21" s="30">
        <f t="shared" si="13"/>
        <v>0</v>
      </c>
      <c r="BI21" s="26">
        <f>AK21*0.045+0.091</f>
        <v>2.7909999999999999</v>
      </c>
      <c r="BJ21" s="30">
        <f t="shared" si="14"/>
        <v>0</v>
      </c>
      <c r="BK21" s="26">
        <f>AK21*0.083-0.285</f>
        <v>4.6950000000000003</v>
      </c>
      <c r="BL21" s="30">
        <f t="shared" si="15"/>
        <v>0</v>
      </c>
      <c r="BM21" s="26">
        <f>AK21*0.049-0.023</f>
        <v>2.9169999999999998</v>
      </c>
      <c r="BN21" s="30">
        <f t="shared" si="16"/>
        <v>0</v>
      </c>
      <c r="BO21" s="26">
        <v>0.34</v>
      </c>
      <c r="BP21" s="30">
        <f t="shared" si="17"/>
        <v>0</v>
      </c>
      <c r="BQ21" s="26">
        <v>0.68</v>
      </c>
      <c r="BR21" s="30">
        <f t="shared" si="18"/>
        <v>0</v>
      </c>
      <c r="BS21" s="26">
        <f>BQ21*0.323</f>
        <v>0.21964000000000003</v>
      </c>
      <c r="BT21" s="30">
        <f t="shared" si="19"/>
        <v>0</v>
      </c>
      <c r="BU21" s="26">
        <v>0.3</v>
      </c>
      <c r="BV21" s="30">
        <f t="shared" si="20"/>
        <v>0</v>
      </c>
      <c r="BW21" s="26">
        <v>0.02</v>
      </c>
      <c r="BX21" s="30">
        <f t="shared" si="21"/>
        <v>0</v>
      </c>
      <c r="BY21" s="26">
        <v>1.84</v>
      </c>
      <c r="BZ21" s="30">
        <f t="shared" si="22"/>
        <v>0</v>
      </c>
      <c r="CA21" s="26">
        <v>0.04</v>
      </c>
      <c r="CB21" s="30">
        <f t="shared" si="23"/>
        <v>0</v>
      </c>
      <c r="CC21" s="26">
        <v>0.56999999999999995</v>
      </c>
      <c r="CD21" s="29">
        <f t="shared" si="24"/>
        <v>0</v>
      </c>
      <c r="CE21" s="31">
        <f t="shared" si="25"/>
        <v>468.46000000000004</v>
      </c>
      <c r="CF21" s="29">
        <f t="shared" si="26"/>
        <v>0</v>
      </c>
      <c r="CG21" s="26">
        <v>3.0000000000000001E-3</v>
      </c>
      <c r="CH21" s="30">
        <f t="shared" si="27"/>
        <v>0</v>
      </c>
      <c r="CI21" s="26">
        <f>AO21*0.39825</f>
        <v>0.45798749999999994</v>
      </c>
      <c r="CJ21" s="29">
        <f t="shared" si="28"/>
        <v>0</v>
      </c>
      <c r="CK21" s="26">
        <v>0.09</v>
      </c>
      <c r="CL21" s="29">
        <f t="shared" si="29"/>
        <v>0</v>
      </c>
      <c r="CM21" s="26">
        <v>0</v>
      </c>
      <c r="CN21" s="29">
        <f t="shared" si="30"/>
        <v>0</v>
      </c>
      <c r="CO21" s="26">
        <v>15.53</v>
      </c>
      <c r="CP21" s="29">
        <f t="shared" si="31"/>
        <v>0</v>
      </c>
      <c r="CQ21" s="26">
        <v>6.69</v>
      </c>
      <c r="CR21" s="29">
        <f t="shared" si="32"/>
        <v>0</v>
      </c>
      <c r="CS21" s="26">
        <v>1.84</v>
      </c>
      <c r="CT21" s="29">
        <f t="shared" si="33"/>
        <v>0</v>
      </c>
      <c r="CU21" s="26">
        <f t="shared" si="42"/>
        <v>19.03</v>
      </c>
      <c r="CV21" s="29">
        <f t="shared" si="35"/>
        <v>0</v>
      </c>
      <c r="CW21" s="32">
        <v>90</v>
      </c>
      <c r="CX21" s="33">
        <f t="shared" si="36"/>
        <v>0</v>
      </c>
      <c r="CY21" s="34"/>
      <c r="CZ21" s="34"/>
      <c r="DA21" s="34"/>
      <c r="DB21" s="34"/>
      <c r="DC21" s="140"/>
      <c r="DD21" s="140"/>
      <c r="DE21" s="140"/>
      <c r="DF21" s="140"/>
      <c r="DG21" s="140"/>
      <c r="DH21" s="140"/>
      <c r="DI21" s="140"/>
      <c r="DJ21" s="140"/>
      <c r="DK21" s="140"/>
      <c r="DL21" s="140"/>
      <c r="DM21" s="140"/>
      <c r="DN21" s="140"/>
      <c r="DO21" s="140"/>
      <c r="DP21" s="140"/>
      <c r="DQ21" s="140"/>
      <c r="DR21" s="140"/>
      <c r="DS21" s="140"/>
      <c r="DT21" s="140"/>
      <c r="DU21" s="140"/>
      <c r="DV21" s="140"/>
      <c r="DW21" s="140"/>
      <c r="DX21" s="140"/>
      <c r="DY21" s="140"/>
      <c r="DZ21" s="140"/>
      <c r="EA21" s="140"/>
      <c r="EB21" s="140"/>
      <c r="EC21" s="140"/>
      <c r="ED21" s="140"/>
      <c r="EE21" s="140"/>
      <c r="EF21" s="140"/>
      <c r="EG21" s="140"/>
      <c r="EH21" s="140"/>
      <c r="EI21" s="140"/>
      <c r="EJ21" s="140"/>
      <c r="EK21" s="140"/>
      <c r="EL21" s="140"/>
      <c r="EM21" s="140"/>
      <c r="EN21" s="140"/>
      <c r="EO21" s="140"/>
      <c r="EP21" s="140"/>
      <c r="EQ21" s="140"/>
      <c r="ER21" s="140"/>
      <c r="ES21" s="140"/>
      <c r="ET21" s="140"/>
      <c r="EU21" s="140"/>
      <c r="EV21" s="140"/>
      <c r="EW21" s="140"/>
      <c r="EX21" s="140"/>
    </row>
    <row r="22" spans="1:154" s="34" customFormat="1" x14ac:dyDescent="0.3">
      <c r="B22" s="62">
        <v>52000</v>
      </c>
      <c r="C22" s="55">
        <f t="shared" si="0"/>
        <v>0</v>
      </c>
      <c r="D22" s="78" t="s">
        <v>23</v>
      </c>
      <c r="E22" s="79">
        <f t="shared" si="37"/>
        <v>0</v>
      </c>
      <c r="F22" s="87">
        <v>0</v>
      </c>
      <c r="G22" s="87"/>
      <c r="H22" s="100"/>
      <c r="I22" s="101"/>
      <c r="J22" s="228">
        <f t="shared" si="38"/>
        <v>0</v>
      </c>
      <c r="K22" s="226">
        <f t="shared" si="39"/>
        <v>100</v>
      </c>
      <c r="L22" s="24"/>
      <c r="M22" s="84" t="s">
        <v>51</v>
      </c>
      <c r="N22" s="66" t="s">
        <v>43</v>
      </c>
      <c r="O22" s="66"/>
      <c r="P22" s="96"/>
      <c r="Q22" s="234">
        <f t="shared" si="40"/>
        <v>0</v>
      </c>
      <c r="R22" s="234">
        <f t="shared" si="41"/>
        <v>1000</v>
      </c>
      <c r="S22" s="66"/>
      <c r="T22" s="68">
        <f>SUM(BX5:BX41)</f>
        <v>0.10311683601183318</v>
      </c>
      <c r="U22" s="41"/>
      <c r="V22" s="113"/>
      <c r="W22" s="120"/>
      <c r="X22" s="250"/>
      <c r="Y22" s="120"/>
      <c r="Z22" s="250"/>
      <c r="AA22" s="120"/>
      <c r="AB22" s="250"/>
      <c r="AC22" s="120"/>
      <c r="AD22" s="250"/>
      <c r="AE22" s="120"/>
      <c r="AF22" s="116"/>
      <c r="AG22" s="37"/>
      <c r="AH22" s="60" t="s">
        <v>23</v>
      </c>
      <c r="AI22" s="21">
        <v>4230</v>
      </c>
      <c r="AJ22" s="6">
        <f t="shared" si="1"/>
        <v>0</v>
      </c>
      <c r="AK22" s="10">
        <v>57.561999999999998</v>
      </c>
      <c r="AL22" s="7">
        <f t="shared" si="2"/>
        <v>0</v>
      </c>
      <c r="AM22" s="10">
        <v>5.3280000000000003</v>
      </c>
      <c r="AN22" s="13">
        <f t="shared" si="3"/>
        <v>0</v>
      </c>
      <c r="AO22" s="10">
        <v>5.3280000000000003</v>
      </c>
      <c r="AP22" s="14">
        <f t="shared" si="4"/>
        <v>0</v>
      </c>
      <c r="AQ22" s="10">
        <v>13.659000000000001</v>
      </c>
      <c r="AR22" s="14">
        <f t="shared" si="5"/>
        <v>0</v>
      </c>
      <c r="AS22" s="10">
        <v>0.78700000000000003</v>
      </c>
      <c r="AT22" s="14">
        <f t="shared" si="6"/>
        <v>0</v>
      </c>
      <c r="AU22" s="10">
        <v>2.0920000000000001</v>
      </c>
      <c r="AV22" s="14">
        <f t="shared" si="7"/>
        <v>0</v>
      </c>
      <c r="AW22" s="10">
        <f>AK22*0.0167</f>
        <v>0.96128539999999996</v>
      </c>
      <c r="AX22" s="17">
        <f t="shared" si="8"/>
        <v>0</v>
      </c>
      <c r="AY22" s="10">
        <f>AK22*0.024-0.003</f>
        <v>1.3784880000000002</v>
      </c>
      <c r="AZ22" s="17">
        <f t="shared" si="9"/>
        <v>0</v>
      </c>
      <c r="BA22" s="10">
        <f>AK22*0.038+0.218</f>
        <v>2.4053559999999998</v>
      </c>
      <c r="BB22" s="17">
        <f t="shared" si="10"/>
        <v>0</v>
      </c>
      <c r="BC22" s="10">
        <f>AK22*0.031+0.117</f>
        <v>1.9014219999999999</v>
      </c>
      <c r="BD22" s="17">
        <f t="shared" si="11"/>
        <v>0</v>
      </c>
      <c r="BE22" s="10">
        <f>AK22*0.005477</f>
        <v>0.31526707399999998</v>
      </c>
      <c r="BF22" s="17">
        <f t="shared" si="12"/>
        <v>0</v>
      </c>
      <c r="BG22" s="10">
        <f>AK22*0.025+0.391</f>
        <v>1.83005</v>
      </c>
      <c r="BH22" s="17">
        <f t="shared" si="13"/>
        <v>0</v>
      </c>
      <c r="BI22" s="10">
        <f>AK22*0.042-0.161</f>
        <v>2.2566039999999998</v>
      </c>
      <c r="BJ22" s="17">
        <f t="shared" si="14"/>
        <v>0</v>
      </c>
      <c r="BK22" s="10">
        <f>AK22*0.19-1.753</f>
        <v>9.1837799999999987</v>
      </c>
      <c r="BL22" s="17">
        <f t="shared" si="15"/>
        <v>0</v>
      </c>
      <c r="BM22" s="10">
        <f>AK22*0.041+0.246</f>
        <v>2.606042</v>
      </c>
      <c r="BN22" s="17">
        <f t="shared" si="16"/>
        <v>0</v>
      </c>
      <c r="BO22" s="10">
        <v>0.03</v>
      </c>
      <c r="BP22" s="17">
        <f t="shared" si="17"/>
        <v>0</v>
      </c>
      <c r="BQ22" s="10">
        <v>0.46710000000000002</v>
      </c>
      <c r="BR22" s="17">
        <f t="shared" si="18"/>
        <v>0</v>
      </c>
      <c r="BS22" s="10">
        <f>BQ22*0.2</f>
        <v>9.3420000000000003E-2</v>
      </c>
      <c r="BT22" s="17">
        <f t="shared" si="19"/>
        <v>0</v>
      </c>
      <c r="BU22" s="12">
        <v>0.08</v>
      </c>
      <c r="BV22" s="18">
        <f t="shared" si="20"/>
        <v>0</v>
      </c>
      <c r="BW22" s="10">
        <v>0.03</v>
      </c>
      <c r="BX22" s="17">
        <f t="shared" si="21"/>
        <v>0</v>
      </c>
      <c r="BY22" s="10">
        <v>0.14000000000000001</v>
      </c>
      <c r="BZ22" s="17">
        <f t="shared" si="22"/>
        <v>0</v>
      </c>
      <c r="CA22" s="10">
        <v>7.0000000000000007E-2</v>
      </c>
      <c r="CB22" s="17">
        <f t="shared" si="23"/>
        <v>0</v>
      </c>
      <c r="CC22" s="10">
        <v>0.57999999999999996</v>
      </c>
      <c r="CD22" s="14">
        <f t="shared" si="24"/>
        <v>0</v>
      </c>
      <c r="CE22" s="21">
        <f t="shared" si="25"/>
        <v>29.15</v>
      </c>
      <c r="CF22" s="14">
        <f t="shared" si="26"/>
        <v>0</v>
      </c>
      <c r="CG22" s="10">
        <v>0.35699999999999998</v>
      </c>
      <c r="CH22" s="17">
        <f t="shared" si="27"/>
        <v>0</v>
      </c>
      <c r="CI22" s="10">
        <f>AO22*0.452</f>
        <v>2.4082560000000002</v>
      </c>
      <c r="CJ22" s="14">
        <f t="shared" si="28"/>
        <v>0</v>
      </c>
      <c r="CK22" s="10">
        <v>0</v>
      </c>
      <c r="CL22" s="14">
        <f t="shared" si="29"/>
        <v>0</v>
      </c>
      <c r="CM22" s="10">
        <v>0</v>
      </c>
      <c r="CN22" s="14">
        <f t="shared" si="30"/>
        <v>0</v>
      </c>
      <c r="CO22" s="10">
        <v>8.4930000000000003</v>
      </c>
      <c r="CP22" s="14">
        <f t="shared" si="31"/>
        <v>0</v>
      </c>
      <c r="CQ22" s="10">
        <v>6.2789999999999999</v>
      </c>
      <c r="CR22" s="14">
        <f t="shared" si="32"/>
        <v>0</v>
      </c>
      <c r="CS22" s="10">
        <v>0.46</v>
      </c>
      <c r="CT22" s="14">
        <f t="shared" si="33"/>
        <v>0</v>
      </c>
      <c r="CU22" s="10">
        <f t="shared" si="42"/>
        <v>26.964999999999989</v>
      </c>
      <c r="CV22" s="14">
        <f t="shared" si="35"/>
        <v>0</v>
      </c>
      <c r="CW22" s="11">
        <v>92.733999999999995</v>
      </c>
      <c r="CX22" s="20">
        <f t="shared" si="36"/>
        <v>0</v>
      </c>
      <c r="DC22" s="140"/>
      <c r="DD22" s="140"/>
      <c r="DE22" s="140"/>
      <c r="DF22" s="140"/>
      <c r="DG22" s="140"/>
      <c r="DH22" s="140"/>
      <c r="DI22" s="140"/>
      <c r="DJ22" s="140"/>
      <c r="DK22" s="140"/>
      <c r="DL22" s="140"/>
      <c r="DM22" s="140"/>
      <c r="DN22" s="140"/>
      <c r="DO22" s="140"/>
      <c r="DP22" s="140"/>
      <c r="DQ22" s="140"/>
      <c r="DR22" s="140"/>
      <c r="DS22" s="140"/>
      <c r="DT22" s="140"/>
      <c r="DU22" s="140"/>
      <c r="DV22" s="140"/>
      <c r="DW22" s="140"/>
      <c r="DX22" s="140"/>
      <c r="DY22" s="140"/>
      <c r="DZ22" s="140"/>
      <c r="EA22" s="140"/>
      <c r="EB22" s="140"/>
      <c r="EC22" s="140"/>
      <c r="ED22" s="140"/>
      <c r="EE22" s="140"/>
      <c r="EF22" s="140"/>
      <c r="EG22" s="140"/>
      <c r="EH22" s="140"/>
      <c r="EI22" s="140"/>
      <c r="EJ22" s="140"/>
      <c r="EK22" s="140"/>
      <c r="EL22" s="140"/>
      <c r="EM22" s="140"/>
      <c r="EN22" s="140"/>
      <c r="EO22" s="140"/>
      <c r="EP22" s="140"/>
      <c r="EQ22" s="140"/>
      <c r="ER22" s="140"/>
      <c r="ES22" s="140"/>
      <c r="ET22" s="140"/>
      <c r="EU22" s="140"/>
      <c r="EV22" s="140"/>
      <c r="EW22" s="140"/>
      <c r="EX22" s="140"/>
    </row>
    <row r="23" spans="1:154" s="34" customFormat="1" x14ac:dyDescent="0.3">
      <c r="B23" s="61">
        <v>80000</v>
      </c>
      <c r="C23" s="56">
        <f t="shared" si="0"/>
        <v>0</v>
      </c>
      <c r="D23" s="76" t="s">
        <v>24</v>
      </c>
      <c r="E23" s="77">
        <f t="shared" si="37"/>
        <v>0</v>
      </c>
      <c r="F23" s="86">
        <v>0</v>
      </c>
      <c r="G23" s="86"/>
      <c r="H23" s="98"/>
      <c r="I23" s="99">
        <v>0</v>
      </c>
      <c r="J23" s="228">
        <f t="shared" si="38"/>
        <v>0</v>
      </c>
      <c r="K23" s="226">
        <f t="shared" si="39"/>
        <v>0</v>
      </c>
      <c r="L23" s="24"/>
      <c r="M23" s="83" t="s">
        <v>52</v>
      </c>
      <c r="N23" s="65" t="s">
        <v>43</v>
      </c>
      <c r="O23" s="65"/>
      <c r="P23" s="95"/>
      <c r="Q23" s="233">
        <f t="shared" si="40"/>
        <v>0</v>
      </c>
      <c r="R23" s="233">
        <f t="shared" si="41"/>
        <v>1000</v>
      </c>
      <c r="S23" s="65"/>
      <c r="T23" s="69">
        <f>SUM(BZ5:BZ41)</f>
        <v>0.56160511771857335</v>
      </c>
      <c r="U23" s="41"/>
      <c r="V23" s="113"/>
      <c r="W23" s="121"/>
      <c r="X23" s="250"/>
      <c r="Y23" s="121"/>
      <c r="Z23" s="250"/>
      <c r="AA23" s="121"/>
      <c r="AB23" s="250"/>
      <c r="AC23" s="121"/>
      <c r="AD23" s="250"/>
      <c r="AE23" s="121"/>
      <c r="AF23" s="116"/>
      <c r="AG23" s="24"/>
      <c r="AH23" s="59" t="s">
        <v>24</v>
      </c>
      <c r="AI23" s="31">
        <v>3820</v>
      </c>
      <c r="AJ23" s="25">
        <f t="shared" si="1"/>
        <v>0</v>
      </c>
      <c r="AK23" s="26">
        <v>63.377000000000002</v>
      </c>
      <c r="AL23" s="27">
        <f t="shared" si="2"/>
        <v>0</v>
      </c>
      <c r="AM23" s="26">
        <v>2.95</v>
      </c>
      <c r="AN23" s="28">
        <f t="shared" si="3"/>
        <v>0</v>
      </c>
      <c r="AO23" s="26">
        <v>2.95</v>
      </c>
      <c r="AP23" s="29">
        <f t="shared" si="4"/>
        <v>0</v>
      </c>
      <c r="AQ23" s="26">
        <v>7.87</v>
      </c>
      <c r="AR23" s="29">
        <f t="shared" si="5"/>
        <v>0</v>
      </c>
      <c r="AS23" s="26">
        <v>0.47</v>
      </c>
      <c r="AT23" s="29">
        <f t="shared" si="6"/>
        <v>0</v>
      </c>
      <c r="AU23" s="26">
        <v>0.96</v>
      </c>
      <c r="AV23" s="29">
        <f t="shared" si="7"/>
        <v>0</v>
      </c>
      <c r="AW23" s="26">
        <f>AK23*0.0159</f>
        <v>1.0076943</v>
      </c>
      <c r="AX23" s="30">
        <f t="shared" si="8"/>
        <v>0</v>
      </c>
      <c r="AY23" s="26">
        <f>AK23*0.012+0.229</f>
        <v>0.98952400000000007</v>
      </c>
      <c r="AZ23" s="30">
        <f t="shared" si="9"/>
        <v>0</v>
      </c>
      <c r="BA23" s="26">
        <f>AK23*0.0361</f>
        <v>2.2879097000000002</v>
      </c>
      <c r="BB23" s="30">
        <f t="shared" si="10"/>
        <v>0</v>
      </c>
      <c r="BC23" s="26">
        <f>AK23*0.016+0.644</f>
        <v>1.658032</v>
      </c>
      <c r="BD23" s="30">
        <f t="shared" si="11"/>
        <v>0</v>
      </c>
      <c r="BE23" s="26">
        <f>AK23*0.007+0.216</f>
        <v>0.65963899999999998</v>
      </c>
      <c r="BF23" s="30">
        <f t="shared" si="12"/>
        <v>0</v>
      </c>
      <c r="BG23" s="26">
        <f>AK23*0.0344</f>
        <v>2.1801688000000001</v>
      </c>
      <c r="BH23" s="30">
        <f t="shared" si="13"/>
        <v>0</v>
      </c>
      <c r="BI23" s="26">
        <f>AK23*0.031+ 0.344</f>
        <v>2.3086869999999999</v>
      </c>
      <c r="BJ23" s="30">
        <f t="shared" si="14"/>
        <v>0</v>
      </c>
      <c r="BK23" s="26">
        <f>AK23*0.052+1.184</f>
        <v>4.4796040000000001</v>
      </c>
      <c r="BL23" s="30">
        <f t="shared" si="15"/>
        <v>0</v>
      </c>
      <c r="BM23" s="26">
        <f>AK23*0.03+0.625</f>
        <v>2.5263100000000001</v>
      </c>
      <c r="BN23" s="30">
        <f t="shared" si="16"/>
        <v>0</v>
      </c>
      <c r="BO23" s="26">
        <v>0.06</v>
      </c>
      <c r="BP23" s="30">
        <f t="shared" si="17"/>
        <v>0</v>
      </c>
      <c r="BQ23" s="26">
        <v>0.17</v>
      </c>
      <c r="BR23" s="30">
        <f t="shared" si="18"/>
        <v>0</v>
      </c>
      <c r="BS23" s="26">
        <f>BQ23*0.31</f>
        <v>5.2700000000000004E-2</v>
      </c>
      <c r="BT23" s="30">
        <f t="shared" si="19"/>
        <v>0</v>
      </c>
      <c r="BU23" s="26">
        <v>0.04</v>
      </c>
      <c r="BV23" s="30">
        <f t="shared" si="20"/>
        <v>0</v>
      </c>
      <c r="BW23" s="26">
        <v>0.09</v>
      </c>
      <c r="BX23" s="30">
        <f t="shared" si="21"/>
        <v>0</v>
      </c>
      <c r="BY23" s="26">
        <v>0.09</v>
      </c>
      <c r="BZ23" s="30">
        <f t="shared" si="22"/>
        <v>0</v>
      </c>
      <c r="CA23" s="26">
        <v>0.11</v>
      </c>
      <c r="CB23" s="30">
        <f t="shared" si="23"/>
        <v>0</v>
      </c>
      <c r="CC23" s="26">
        <v>0.65</v>
      </c>
      <c r="CD23" s="29">
        <f t="shared" si="24"/>
        <v>0</v>
      </c>
      <c r="CE23" s="31">
        <f t="shared" si="25"/>
        <v>31.169999999999998</v>
      </c>
      <c r="CF23" s="29">
        <f t="shared" si="26"/>
        <v>0</v>
      </c>
      <c r="CG23" s="26">
        <v>0</v>
      </c>
      <c r="CH23" s="30">
        <f t="shared" si="27"/>
        <v>0</v>
      </c>
      <c r="CI23" s="26">
        <f>AO23*0.3701</f>
        <v>1.0917950000000001</v>
      </c>
      <c r="CJ23" s="29">
        <f t="shared" si="28"/>
        <v>0</v>
      </c>
      <c r="CK23" s="26">
        <v>0</v>
      </c>
      <c r="CL23" s="29">
        <f t="shared" si="29"/>
        <v>0</v>
      </c>
      <c r="CM23" s="26">
        <v>0</v>
      </c>
      <c r="CN23" s="29">
        <f t="shared" si="30"/>
        <v>0</v>
      </c>
      <c r="CO23" s="26">
        <v>36.840000000000003</v>
      </c>
      <c r="CP23" s="29">
        <f t="shared" si="31"/>
        <v>0</v>
      </c>
      <c r="CQ23" s="26">
        <v>3.35</v>
      </c>
      <c r="CR23" s="29">
        <f t="shared" si="32"/>
        <v>0</v>
      </c>
      <c r="CS23" s="26">
        <v>1.35</v>
      </c>
      <c r="CT23" s="29">
        <f t="shared" si="33"/>
        <v>0</v>
      </c>
      <c r="CU23" s="26">
        <f t="shared" si="42"/>
        <v>25.301000000000016</v>
      </c>
      <c r="CV23" s="29">
        <f t="shared" si="35"/>
        <v>0</v>
      </c>
      <c r="CW23" s="32">
        <v>93.058000000000007</v>
      </c>
      <c r="CX23" s="33">
        <f t="shared" si="36"/>
        <v>0</v>
      </c>
      <c r="DC23" s="140"/>
      <c r="DD23" s="140"/>
      <c r="DE23" s="140"/>
      <c r="DF23" s="140"/>
      <c r="DG23" s="140"/>
      <c r="DH23" s="140"/>
      <c r="DI23" s="140"/>
      <c r="DJ23" s="140"/>
      <c r="DK23" s="140"/>
      <c r="DL23" s="140"/>
      <c r="DM23" s="140"/>
      <c r="DN23" s="140"/>
      <c r="DO23" s="140"/>
      <c r="DP23" s="140"/>
      <c r="DQ23" s="140"/>
      <c r="DR23" s="140"/>
      <c r="DS23" s="140"/>
      <c r="DT23" s="140"/>
      <c r="DU23" s="140"/>
      <c r="DV23" s="140"/>
      <c r="DW23" s="140"/>
      <c r="DX23" s="140"/>
      <c r="DY23" s="140"/>
      <c r="DZ23" s="140"/>
      <c r="EA23" s="140"/>
      <c r="EB23" s="140"/>
      <c r="EC23" s="140"/>
      <c r="ED23" s="140"/>
      <c r="EE23" s="140"/>
      <c r="EF23" s="140"/>
      <c r="EG23" s="140"/>
      <c r="EH23" s="140"/>
      <c r="EI23" s="140"/>
      <c r="EJ23" s="140"/>
      <c r="EK23" s="140"/>
      <c r="EL23" s="140"/>
      <c r="EM23" s="140"/>
      <c r="EN23" s="140"/>
      <c r="EO23" s="140"/>
      <c r="EP23" s="140"/>
      <c r="EQ23" s="140"/>
      <c r="ER23" s="140"/>
      <c r="ES23" s="140"/>
      <c r="ET23" s="140"/>
      <c r="EU23" s="140"/>
      <c r="EV23" s="140"/>
      <c r="EW23" s="140"/>
      <c r="EX23" s="140"/>
    </row>
    <row r="24" spans="1:154" s="1" customFormat="1" x14ac:dyDescent="0.3">
      <c r="A24" s="34"/>
      <c r="B24" s="62">
        <v>10000</v>
      </c>
      <c r="C24" s="55">
        <f t="shared" si="0"/>
        <v>692.81737549904892</v>
      </c>
      <c r="D24" s="78" t="s">
        <v>25</v>
      </c>
      <c r="E24" s="79">
        <f t="shared" si="37"/>
        <v>69.281737549904889</v>
      </c>
      <c r="F24" s="87">
        <v>6.9281737549904889</v>
      </c>
      <c r="G24" s="87"/>
      <c r="H24" s="100"/>
      <c r="I24" s="101"/>
      <c r="J24" s="228">
        <f t="shared" si="38"/>
        <v>0</v>
      </c>
      <c r="K24" s="226">
        <f t="shared" si="39"/>
        <v>100</v>
      </c>
      <c r="L24" s="24"/>
      <c r="M24" s="84" t="s">
        <v>53</v>
      </c>
      <c r="N24" s="66" t="s">
        <v>43</v>
      </c>
      <c r="O24" s="66"/>
      <c r="P24" s="96"/>
      <c r="Q24" s="234">
        <f t="shared" si="40"/>
        <v>0</v>
      </c>
      <c r="R24" s="234">
        <f t="shared" si="41"/>
        <v>1000</v>
      </c>
      <c r="S24" s="66"/>
      <c r="T24" s="68">
        <f>SUM(CB5:CB41)</f>
        <v>0.43207554232087364</v>
      </c>
      <c r="U24" s="41"/>
      <c r="V24" s="113"/>
      <c r="W24" s="120"/>
      <c r="X24" s="250"/>
      <c r="Y24" s="120"/>
      <c r="Z24" s="250"/>
      <c r="AA24" s="120"/>
      <c r="AB24" s="250"/>
      <c r="AC24" s="120"/>
      <c r="AD24" s="250"/>
      <c r="AE24" s="120"/>
      <c r="AF24" s="116"/>
      <c r="AG24" s="24"/>
      <c r="AH24" s="60" t="s">
        <v>25</v>
      </c>
      <c r="AI24" s="21">
        <v>1300</v>
      </c>
      <c r="AJ24" s="6">
        <f t="shared" si="1"/>
        <v>90.066258814876363</v>
      </c>
      <c r="AK24" s="10">
        <v>14.531000000000001</v>
      </c>
      <c r="AL24" s="7">
        <f t="shared" si="2"/>
        <v>1.0067329283376678</v>
      </c>
      <c r="AM24" s="10">
        <v>4.0199999999999996</v>
      </c>
      <c r="AN24" s="13">
        <f t="shared" si="3"/>
        <v>0.27851258495061759</v>
      </c>
      <c r="AO24" s="10">
        <v>4.0199999999999996</v>
      </c>
      <c r="AP24" s="14">
        <f t="shared" si="4"/>
        <v>0.27851258495061759</v>
      </c>
      <c r="AQ24" s="10">
        <v>19.806999999999999</v>
      </c>
      <c r="AR24" s="14">
        <f t="shared" si="5"/>
        <v>1.3722633756509661</v>
      </c>
      <c r="AS24" s="10">
        <v>8.2899999999999991</v>
      </c>
      <c r="AT24" s="14">
        <f t="shared" si="6"/>
        <v>0.5743456042887114</v>
      </c>
      <c r="AU24" s="10">
        <v>5.0640000000000001</v>
      </c>
      <c r="AV24" s="14">
        <f t="shared" si="7"/>
        <v>0.35084271895271835</v>
      </c>
      <c r="AW24" s="10">
        <f>AK24*0.037+0.042</f>
        <v>0.57964700000000002</v>
      </c>
      <c r="AX24" s="17">
        <f t="shared" si="8"/>
        <v>4.0158951325589727E-2</v>
      </c>
      <c r="AY24" s="10">
        <f>AK24*0.014+0.005</f>
        <v>0.20843400000000001</v>
      </c>
      <c r="AZ24" s="17">
        <f t="shared" si="9"/>
        <v>1.4440669684476876E-2</v>
      </c>
      <c r="BA24" s="10">
        <f>AK24*0.034+0.016</f>
        <v>0.51005400000000001</v>
      </c>
      <c r="BB24" s="17">
        <f t="shared" si="10"/>
        <v>3.5337427364279188E-2</v>
      </c>
      <c r="BC24" s="10">
        <f>AK24*0.029+0.04</f>
        <v>0.461399</v>
      </c>
      <c r="BD24" s="17">
        <f t="shared" si="11"/>
        <v>3.196652442378857E-2</v>
      </c>
      <c r="BE24" s="10">
        <f>AK24*0.014+0.019</f>
        <v>0.22243399999999999</v>
      </c>
      <c r="BF24" s="17">
        <f t="shared" si="12"/>
        <v>1.5410614010175544E-2</v>
      </c>
      <c r="BG24" s="10">
        <f>AK24*0.075-0.012</f>
        <v>1.077825</v>
      </c>
      <c r="BH24" s="17">
        <f t="shared" si="13"/>
        <v>7.4673588774726241E-2</v>
      </c>
      <c r="BI24" s="10">
        <f>AK24*0.03+0.003</f>
        <v>0.43892999999999999</v>
      </c>
      <c r="BJ24" s="17">
        <f t="shared" si="14"/>
        <v>3.0409833062779751E-2</v>
      </c>
      <c r="BK24" s="10">
        <f>AK24*0.058+0.018</f>
        <v>0.86079800000000006</v>
      </c>
      <c r="BL24" s="17">
        <f t="shared" si="15"/>
        <v>5.9637581119483037E-2</v>
      </c>
      <c r="BM24" s="10">
        <f>AK24*0.044+0.018</f>
        <v>0.65736400000000006</v>
      </c>
      <c r="BN24" s="17">
        <f t="shared" si="16"/>
        <v>4.5543320122755679E-2</v>
      </c>
      <c r="BO24" s="10">
        <v>0.09</v>
      </c>
      <c r="BP24" s="17">
        <f t="shared" si="17"/>
        <v>6.2353563794914401E-3</v>
      </c>
      <c r="BQ24" s="10">
        <v>0.90280000000000005</v>
      </c>
      <c r="BR24" s="17">
        <f t="shared" si="18"/>
        <v>6.2547552660054143E-2</v>
      </c>
      <c r="BS24" s="10">
        <f>BQ24*0.326</f>
        <v>0.29431280000000004</v>
      </c>
      <c r="BT24" s="17">
        <f t="shared" si="19"/>
        <v>2.0390502167177652E-2</v>
      </c>
      <c r="BU24" s="12">
        <v>0.38</v>
      </c>
      <c r="BV24" s="18">
        <f t="shared" si="20"/>
        <v>2.6327060268963857E-2</v>
      </c>
      <c r="BW24" s="10">
        <v>0.01</v>
      </c>
      <c r="BX24" s="17">
        <f t="shared" si="21"/>
        <v>6.9281737549904893E-4</v>
      </c>
      <c r="BY24" s="10">
        <v>1.06</v>
      </c>
      <c r="BZ24" s="17">
        <f t="shared" si="22"/>
        <v>7.3438641802899177E-2</v>
      </c>
      <c r="CA24" s="10">
        <v>0.09</v>
      </c>
      <c r="CB24" s="17">
        <f t="shared" si="23"/>
        <v>6.2353563794914401E-3</v>
      </c>
      <c r="CC24" s="10">
        <v>0.19</v>
      </c>
      <c r="CD24" s="14">
        <f t="shared" si="24"/>
        <v>1.3163530134481929E-2</v>
      </c>
      <c r="CE24" s="21">
        <f>(BW24*435)+(BY24*256)-(CA24*282)</f>
        <v>250.33000000000004</v>
      </c>
      <c r="CF24" s="14">
        <f t="shared" si="26"/>
        <v>17.343297360867695</v>
      </c>
      <c r="CG24" s="10">
        <v>0.73599999999999999</v>
      </c>
      <c r="CH24" s="17">
        <f t="shared" si="27"/>
        <v>5.0991358836729998E-2</v>
      </c>
      <c r="CI24" s="10">
        <f>AO24*0.4512</f>
        <v>1.8138239999999997</v>
      </c>
      <c r="CJ24" s="14">
        <f t="shared" si="28"/>
        <v>0.12566487832971865</v>
      </c>
      <c r="CK24" s="10">
        <v>0</v>
      </c>
      <c r="CL24" s="14">
        <f t="shared" si="29"/>
        <v>0</v>
      </c>
      <c r="CM24" s="10">
        <v>0</v>
      </c>
      <c r="CN24" s="14">
        <f t="shared" si="30"/>
        <v>0</v>
      </c>
      <c r="CO24" s="10">
        <v>38.31</v>
      </c>
      <c r="CP24" s="14">
        <f t="shared" si="31"/>
        <v>2.6541833655368561</v>
      </c>
      <c r="CQ24" s="10">
        <v>11.108000000000001</v>
      </c>
      <c r="CR24" s="14">
        <f t="shared" si="32"/>
        <v>0.76958154070434359</v>
      </c>
      <c r="CS24" s="10">
        <v>4.6479999999999997</v>
      </c>
      <c r="CT24" s="14">
        <f t="shared" si="33"/>
        <v>0.3220215161319579</v>
      </c>
      <c r="CU24" s="10">
        <f t="shared" si="42"/>
        <v>57.567999999999998</v>
      </c>
      <c r="CV24" s="14">
        <f t="shared" si="35"/>
        <v>3.9884110672729243</v>
      </c>
      <c r="CW24" s="11">
        <v>89.472999999999999</v>
      </c>
      <c r="CX24" s="20">
        <f t="shared" si="36"/>
        <v>6.1988449038026401</v>
      </c>
      <c r="CY24" s="34"/>
      <c r="CZ24" s="34"/>
      <c r="DA24" s="34"/>
      <c r="DB24" s="34"/>
      <c r="DC24" s="140"/>
      <c r="DD24" s="140"/>
      <c r="DE24" s="140"/>
      <c r="DF24" s="140"/>
      <c r="DG24" s="140"/>
      <c r="DH24" s="140"/>
      <c r="DI24" s="140"/>
      <c r="DJ24" s="140"/>
      <c r="DK24" s="140"/>
      <c r="DL24" s="140"/>
      <c r="DM24" s="140"/>
      <c r="DN24" s="140"/>
      <c r="DO24" s="140"/>
      <c r="DP24" s="140"/>
      <c r="DQ24" s="140"/>
      <c r="DR24" s="140"/>
      <c r="DS24" s="140"/>
      <c r="DT24" s="140"/>
      <c r="DU24" s="140"/>
      <c r="DV24" s="140"/>
      <c r="DW24" s="140"/>
      <c r="DX24" s="140"/>
      <c r="DY24" s="140"/>
      <c r="DZ24" s="140"/>
      <c r="EA24" s="140"/>
      <c r="EB24" s="140"/>
      <c r="EC24" s="140"/>
      <c r="ED24" s="140"/>
      <c r="EE24" s="140"/>
      <c r="EF24" s="140"/>
      <c r="EG24" s="140"/>
      <c r="EH24" s="140"/>
      <c r="EI24" s="140"/>
      <c r="EJ24" s="140"/>
      <c r="EK24" s="140"/>
      <c r="EL24" s="140"/>
      <c r="EM24" s="140"/>
      <c r="EN24" s="140"/>
      <c r="EO24" s="140"/>
      <c r="EP24" s="140"/>
      <c r="EQ24" s="140"/>
      <c r="ER24" s="140"/>
      <c r="ES24" s="140"/>
      <c r="ET24" s="140"/>
      <c r="EU24" s="140"/>
      <c r="EV24" s="140"/>
      <c r="EW24" s="140"/>
      <c r="EX24" s="140"/>
    </row>
    <row r="25" spans="1:154" s="34" customFormat="1" x14ac:dyDescent="0.3">
      <c r="B25" s="61">
        <v>10000</v>
      </c>
      <c r="C25" s="56">
        <f t="shared" si="0"/>
        <v>0</v>
      </c>
      <c r="D25" s="76" t="s">
        <v>26</v>
      </c>
      <c r="E25" s="77">
        <f t="shared" si="37"/>
        <v>0</v>
      </c>
      <c r="F25" s="86">
        <v>0</v>
      </c>
      <c r="G25" s="86"/>
      <c r="H25" s="98"/>
      <c r="I25" s="99">
        <v>0</v>
      </c>
      <c r="J25" s="228">
        <f t="shared" si="38"/>
        <v>0</v>
      </c>
      <c r="K25" s="226">
        <f t="shared" si="39"/>
        <v>0</v>
      </c>
      <c r="L25" s="24"/>
      <c r="M25" s="83" t="s">
        <v>121</v>
      </c>
      <c r="N25" s="65" t="s">
        <v>43</v>
      </c>
      <c r="O25" s="65"/>
      <c r="P25" s="95"/>
      <c r="Q25" s="233">
        <f t="shared" si="40"/>
        <v>0</v>
      </c>
      <c r="R25" s="233">
        <f t="shared" si="41"/>
        <v>1000</v>
      </c>
      <c r="S25" s="65"/>
      <c r="T25" s="69">
        <f>SUM(CJ5:CJ41)</f>
        <v>0.69396868289022229</v>
      </c>
      <c r="U25" s="41"/>
      <c r="V25" s="113"/>
      <c r="W25" s="121"/>
      <c r="X25" s="250"/>
      <c r="Y25" s="121"/>
      <c r="Z25" s="250"/>
      <c r="AA25" s="121"/>
      <c r="AB25" s="250"/>
      <c r="AC25" s="121"/>
      <c r="AD25" s="250"/>
      <c r="AE25" s="121"/>
      <c r="AF25" s="116"/>
      <c r="AG25" s="24"/>
      <c r="AH25" s="59" t="s">
        <v>26</v>
      </c>
      <c r="AI25" s="31">
        <v>1200</v>
      </c>
      <c r="AJ25" s="25">
        <f t="shared" si="1"/>
        <v>0</v>
      </c>
      <c r="AK25" s="26">
        <v>10.706</v>
      </c>
      <c r="AL25" s="27">
        <f t="shared" si="2"/>
        <v>0</v>
      </c>
      <c r="AM25" s="26">
        <v>0.15</v>
      </c>
      <c r="AN25" s="28">
        <f t="shared" si="3"/>
        <v>0</v>
      </c>
      <c r="AO25" s="26">
        <v>0.15</v>
      </c>
      <c r="AP25" s="29">
        <f t="shared" si="4"/>
        <v>0</v>
      </c>
      <c r="AQ25" s="26">
        <v>0</v>
      </c>
      <c r="AR25" s="29">
        <f t="shared" si="5"/>
        <v>0</v>
      </c>
      <c r="AS25" s="26">
        <v>0</v>
      </c>
      <c r="AT25" s="29">
        <f t="shared" si="6"/>
        <v>0</v>
      </c>
      <c r="AU25" s="26">
        <v>9.58</v>
      </c>
      <c r="AV25" s="29">
        <f t="shared" si="7"/>
        <v>0</v>
      </c>
      <c r="AW25" s="26">
        <f>AK25*0.015</f>
        <v>0.16058999999999998</v>
      </c>
      <c r="AX25" s="30">
        <f t="shared" si="8"/>
        <v>0</v>
      </c>
      <c r="AY25" s="26">
        <f>AK25*0.002</f>
        <v>2.1412E-2</v>
      </c>
      <c r="AZ25" s="30">
        <f t="shared" si="9"/>
        <v>0</v>
      </c>
      <c r="BA25" s="26">
        <f>AK25*0.009</f>
        <v>9.6353999999999995E-2</v>
      </c>
      <c r="BB25" s="30">
        <f t="shared" si="10"/>
        <v>0</v>
      </c>
      <c r="BC25" s="26">
        <f>AK25*0.007</f>
        <v>7.4941999999999995E-2</v>
      </c>
      <c r="BD25" s="30">
        <f t="shared" si="11"/>
        <v>0</v>
      </c>
      <c r="BE25" s="26">
        <f>AK25*0.008</f>
        <v>8.5648000000000002E-2</v>
      </c>
      <c r="BF25" s="30">
        <f t="shared" si="12"/>
        <v>0</v>
      </c>
      <c r="BG25" s="26">
        <f>AK25*0.008</f>
        <v>8.5648000000000002E-2</v>
      </c>
      <c r="BH25" s="30">
        <f t="shared" si="13"/>
        <v>0</v>
      </c>
      <c r="BI25" s="26">
        <f>AK25*0.026</f>
        <v>0.27835599999999999</v>
      </c>
      <c r="BJ25" s="30">
        <f t="shared" si="14"/>
        <v>0</v>
      </c>
      <c r="BK25" s="26">
        <f>AK25*0.026</f>
        <v>0.27835599999999999</v>
      </c>
      <c r="BL25" s="30">
        <f t="shared" si="15"/>
        <v>0</v>
      </c>
      <c r="BM25" s="26">
        <f>AK25*0.018</f>
        <v>0.19270799999999999</v>
      </c>
      <c r="BN25" s="30">
        <f t="shared" si="16"/>
        <v>0</v>
      </c>
      <c r="BO25" s="26">
        <v>0.09</v>
      </c>
      <c r="BP25" s="30">
        <f t="shared" si="17"/>
        <v>0</v>
      </c>
      <c r="BQ25" s="26">
        <v>2.1999999999999999E-2</v>
      </c>
      <c r="BR25" s="30">
        <f t="shared" si="18"/>
        <v>0</v>
      </c>
      <c r="BS25" s="26">
        <f t="shared" ref="BS25" si="43">BQ25*0.3</f>
        <v>6.5999999999999991E-3</v>
      </c>
      <c r="BT25" s="30">
        <f t="shared" si="19"/>
        <v>0</v>
      </c>
      <c r="BU25" s="26">
        <v>0.23</v>
      </c>
      <c r="BV25" s="30">
        <f t="shared" si="20"/>
        <v>0</v>
      </c>
      <c r="BW25" s="26">
        <v>0.52100000000000002</v>
      </c>
      <c r="BX25" s="30">
        <f t="shared" si="21"/>
        <v>0</v>
      </c>
      <c r="BY25" s="26">
        <v>3.86</v>
      </c>
      <c r="BZ25" s="30">
        <f t="shared" si="22"/>
        <v>0</v>
      </c>
      <c r="CA25" s="26">
        <v>0.4</v>
      </c>
      <c r="CB25" s="30">
        <f t="shared" si="23"/>
        <v>0</v>
      </c>
      <c r="CC25" s="26">
        <v>0.42199999999999999</v>
      </c>
      <c r="CD25" s="29">
        <f t="shared" si="24"/>
        <v>0</v>
      </c>
      <c r="CE25" s="31">
        <f>(BW25*435)+(BY25*256)-(CA25*282)</f>
        <v>1101.9950000000001</v>
      </c>
      <c r="CF25" s="29">
        <f t="shared" si="26"/>
        <v>0</v>
      </c>
      <c r="CG25" s="26">
        <v>0</v>
      </c>
      <c r="CH25" s="30">
        <f t="shared" si="27"/>
        <v>0</v>
      </c>
      <c r="CI25" s="26">
        <f>AO25*0.22</f>
        <v>3.3000000000000002E-2</v>
      </c>
      <c r="CJ25" s="29">
        <f t="shared" si="28"/>
        <v>0</v>
      </c>
      <c r="CK25" s="26">
        <v>0</v>
      </c>
      <c r="CL25" s="29">
        <f t="shared" si="29"/>
        <v>0</v>
      </c>
      <c r="CM25" s="26">
        <v>0</v>
      </c>
      <c r="CN25" s="29">
        <f t="shared" si="30"/>
        <v>0</v>
      </c>
      <c r="CO25" s="26">
        <v>0</v>
      </c>
      <c r="CP25" s="29">
        <f t="shared" si="31"/>
        <v>0</v>
      </c>
      <c r="CQ25" s="26">
        <v>0</v>
      </c>
      <c r="CR25" s="29">
        <f t="shared" si="32"/>
        <v>0</v>
      </c>
      <c r="CS25" s="26">
        <v>47.8</v>
      </c>
      <c r="CT25" s="29">
        <f t="shared" si="33"/>
        <v>0</v>
      </c>
      <c r="CU25" s="26">
        <f t="shared" si="42"/>
        <v>54.964000000000006</v>
      </c>
      <c r="CV25" s="29">
        <f t="shared" si="35"/>
        <v>0</v>
      </c>
      <c r="CW25" s="32">
        <v>75.400000000000006</v>
      </c>
      <c r="CX25" s="33">
        <f t="shared" si="36"/>
        <v>0</v>
      </c>
      <c r="DC25" s="140"/>
      <c r="DD25" s="140"/>
      <c r="DE25" s="140"/>
      <c r="DF25" s="140"/>
      <c r="DG25" s="140"/>
      <c r="DH25" s="140"/>
      <c r="DI25" s="140"/>
      <c r="DJ25" s="140"/>
      <c r="DK25" s="140"/>
      <c r="DL25" s="140"/>
      <c r="DM25" s="140"/>
      <c r="DN25" s="140"/>
      <c r="DO25" s="140"/>
      <c r="DP25" s="140"/>
      <c r="DQ25" s="140"/>
      <c r="DR25" s="140"/>
      <c r="DS25" s="140"/>
      <c r="DT25" s="140"/>
      <c r="DU25" s="140"/>
      <c r="DV25" s="140"/>
      <c r="DW25" s="140"/>
      <c r="DX25" s="140"/>
      <c r="DY25" s="140"/>
      <c r="DZ25" s="140"/>
      <c r="EA25" s="140"/>
      <c r="EB25" s="140"/>
      <c r="EC25" s="140"/>
      <c r="ED25" s="140"/>
      <c r="EE25" s="140"/>
      <c r="EF25" s="140"/>
      <c r="EG25" s="140"/>
      <c r="EH25" s="140"/>
      <c r="EI25" s="140"/>
      <c r="EJ25" s="140"/>
      <c r="EK25" s="140"/>
      <c r="EL25" s="140"/>
      <c r="EM25" s="140"/>
      <c r="EN25" s="140"/>
      <c r="EO25" s="140"/>
      <c r="EP25" s="140"/>
      <c r="EQ25" s="140"/>
      <c r="ER25" s="140"/>
      <c r="ES25" s="140"/>
      <c r="ET25" s="140"/>
      <c r="EU25" s="140"/>
      <c r="EV25" s="140"/>
      <c r="EW25" s="140"/>
      <c r="EX25" s="140"/>
    </row>
    <row r="26" spans="1:154" s="1" customFormat="1" x14ac:dyDescent="0.3">
      <c r="A26" s="34"/>
      <c r="B26" s="62">
        <v>150000</v>
      </c>
      <c r="C26" s="55">
        <f t="shared" si="0"/>
        <v>1110.312010823249</v>
      </c>
      <c r="D26" s="78" t="s">
        <v>27</v>
      </c>
      <c r="E26" s="79">
        <f t="shared" si="37"/>
        <v>7.4020800721549929</v>
      </c>
      <c r="F26" s="87">
        <v>0.74020800721549929</v>
      </c>
      <c r="G26" s="87"/>
      <c r="H26" s="100"/>
      <c r="I26" s="101"/>
      <c r="J26" s="228">
        <f t="shared" si="38"/>
        <v>0</v>
      </c>
      <c r="K26" s="226">
        <f t="shared" si="39"/>
        <v>100</v>
      </c>
      <c r="L26" s="24"/>
      <c r="M26" s="84" t="s">
        <v>122</v>
      </c>
      <c r="N26" s="66" t="s">
        <v>43</v>
      </c>
      <c r="O26" s="66"/>
      <c r="P26" s="96"/>
      <c r="Q26" s="234">
        <f t="shared" si="40"/>
        <v>0</v>
      </c>
      <c r="R26" s="234">
        <f t="shared" si="41"/>
        <v>1000</v>
      </c>
      <c r="S26" s="66"/>
      <c r="T26" s="68">
        <f>SUM(CL5:CL41)</f>
        <v>6.5478598124672997E-3</v>
      </c>
      <c r="U26" s="41"/>
      <c r="V26" s="113"/>
      <c r="W26" s="120"/>
      <c r="X26" s="250"/>
      <c r="Y26" s="120"/>
      <c r="Z26" s="250"/>
      <c r="AA26" s="120"/>
      <c r="AB26" s="250"/>
      <c r="AC26" s="120"/>
      <c r="AD26" s="250"/>
      <c r="AE26" s="120"/>
      <c r="AF26" s="116"/>
      <c r="AG26" s="24"/>
      <c r="AH26" s="60" t="s">
        <v>27</v>
      </c>
      <c r="AI26" s="10">
        <v>4500</v>
      </c>
      <c r="AJ26" s="6">
        <f t="shared" si="1"/>
        <v>33.309360324697465</v>
      </c>
      <c r="AK26" s="22">
        <v>58.1</v>
      </c>
      <c r="AL26" s="7">
        <f t="shared" si="2"/>
        <v>0.43006085219220508</v>
      </c>
      <c r="AM26" s="10">
        <v>0</v>
      </c>
      <c r="AN26" s="13">
        <f t="shared" si="3"/>
        <v>0</v>
      </c>
      <c r="AO26" s="10">
        <v>0</v>
      </c>
      <c r="AP26" s="14">
        <f t="shared" si="4"/>
        <v>0</v>
      </c>
      <c r="AQ26" s="10">
        <v>0</v>
      </c>
      <c r="AR26" s="14">
        <f t="shared" si="5"/>
        <v>0</v>
      </c>
      <c r="AS26" s="10">
        <v>0</v>
      </c>
      <c r="AT26" s="14">
        <f t="shared" si="6"/>
        <v>0</v>
      </c>
      <c r="AU26" s="10">
        <v>0.5</v>
      </c>
      <c r="AV26" s="14">
        <f t="shared" si="7"/>
        <v>3.7010400360774965E-3</v>
      </c>
      <c r="AW26" s="10">
        <v>0</v>
      </c>
      <c r="AX26" s="17">
        <f t="shared" si="8"/>
        <v>0</v>
      </c>
      <c r="AY26" s="10">
        <v>99</v>
      </c>
      <c r="AZ26" s="17">
        <f t="shared" si="9"/>
        <v>0.73280592714334425</v>
      </c>
      <c r="BA26" s="10">
        <v>99</v>
      </c>
      <c r="BB26" s="17">
        <f t="shared" si="10"/>
        <v>0.73280592714334425</v>
      </c>
      <c r="BC26" s="10">
        <v>0</v>
      </c>
      <c r="BD26" s="17">
        <f t="shared" si="11"/>
        <v>0</v>
      </c>
      <c r="BE26" s="10">
        <v>0</v>
      </c>
      <c r="BF26" s="17">
        <f t="shared" si="12"/>
        <v>0</v>
      </c>
      <c r="BG26" s="10">
        <v>0</v>
      </c>
      <c r="BH26" s="17">
        <f t="shared" si="13"/>
        <v>0</v>
      </c>
      <c r="BI26" s="10">
        <v>0</v>
      </c>
      <c r="BJ26" s="17">
        <f t="shared" si="14"/>
        <v>0</v>
      </c>
      <c r="BK26" s="10">
        <v>0</v>
      </c>
      <c r="BL26" s="17">
        <f t="shared" si="15"/>
        <v>0</v>
      </c>
      <c r="BM26" s="10">
        <v>0</v>
      </c>
      <c r="BN26" s="17">
        <f t="shared" si="16"/>
        <v>0</v>
      </c>
      <c r="BO26" s="10">
        <v>0</v>
      </c>
      <c r="BP26" s="17">
        <f t="shared" si="17"/>
        <v>0</v>
      </c>
      <c r="BQ26" s="10">
        <v>0</v>
      </c>
      <c r="BR26" s="17">
        <f t="shared" si="18"/>
        <v>0</v>
      </c>
      <c r="BS26" s="10">
        <v>0</v>
      </c>
      <c r="BT26" s="17">
        <f t="shared" si="19"/>
        <v>0</v>
      </c>
      <c r="BU26" s="12">
        <v>0</v>
      </c>
      <c r="BV26" s="18">
        <f t="shared" si="20"/>
        <v>0</v>
      </c>
      <c r="BW26" s="10">
        <v>0</v>
      </c>
      <c r="BX26" s="17">
        <f t="shared" si="21"/>
        <v>0</v>
      </c>
      <c r="BY26" s="10">
        <v>0</v>
      </c>
      <c r="BZ26" s="17">
        <f t="shared" si="22"/>
        <v>0</v>
      </c>
      <c r="CA26" s="10">
        <v>0</v>
      </c>
      <c r="CB26" s="17">
        <f t="shared" si="23"/>
        <v>0</v>
      </c>
      <c r="CC26" s="10">
        <v>21.445</v>
      </c>
      <c r="CD26" s="14">
        <f t="shared" si="24"/>
        <v>0.15873760714736382</v>
      </c>
      <c r="CE26" s="21">
        <v>0</v>
      </c>
      <c r="CF26" s="14">
        <f t="shared" si="26"/>
        <v>0</v>
      </c>
      <c r="CG26" s="10">
        <v>0</v>
      </c>
      <c r="CH26" s="17">
        <f t="shared" si="27"/>
        <v>0</v>
      </c>
      <c r="CI26" s="10">
        <v>0</v>
      </c>
      <c r="CJ26" s="14">
        <f t="shared" si="28"/>
        <v>0</v>
      </c>
      <c r="CK26" s="10">
        <v>0</v>
      </c>
      <c r="CL26" s="14">
        <f t="shared" si="29"/>
        <v>0</v>
      </c>
      <c r="CM26" s="10">
        <v>0</v>
      </c>
      <c r="CN26" s="14">
        <f t="shared" si="30"/>
        <v>0</v>
      </c>
      <c r="CO26" s="10">
        <v>0</v>
      </c>
      <c r="CP26" s="14">
        <f t="shared" si="31"/>
        <v>0</v>
      </c>
      <c r="CQ26" s="10">
        <v>0</v>
      </c>
      <c r="CR26" s="14">
        <f t="shared" si="32"/>
        <v>0</v>
      </c>
      <c r="CS26" s="10">
        <v>0</v>
      </c>
      <c r="CT26" s="14">
        <f t="shared" si="33"/>
        <v>0</v>
      </c>
      <c r="CU26" s="10">
        <v>0</v>
      </c>
      <c r="CV26" s="14">
        <f t="shared" si="35"/>
        <v>0</v>
      </c>
      <c r="CW26" s="11">
        <v>98</v>
      </c>
      <c r="CX26" s="20">
        <f t="shared" si="36"/>
        <v>0.72540384707118932</v>
      </c>
      <c r="CY26" s="34"/>
      <c r="CZ26" s="34"/>
      <c r="DA26" s="34"/>
      <c r="DB26" s="34"/>
      <c r="DC26" s="140"/>
      <c r="DD26" s="140"/>
      <c r="DE26" s="140"/>
      <c r="DF26" s="140"/>
      <c r="DG26" s="140"/>
      <c r="DH26" s="140"/>
      <c r="DI26" s="140"/>
      <c r="DJ26" s="140"/>
      <c r="DK26" s="140"/>
      <c r="DL26" s="140"/>
      <c r="DM26" s="140"/>
      <c r="DN26" s="140"/>
      <c r="DO26" s="140"/>
      <c r="DP26" s="140"/>
      <c r="DQ26" s="140"/>
      <c r="DR26" s="140"/>
      <c r="DS26" s="140"/>
      <c r="DT26" s="140"/>
      <c r="DU26" s="140"/>
      <c r="DV26" s="140"/>
      <c r="DW26" s="140"/>
      <c r="DX26" s="140"/>
      <c r="DY26" s="140"/>
      <c r="DZ26" s="140"/>
      <c r="EA26" s="140"/>
      <c r="EB26" s="140"/>
      <c r="EC26" s="140"/>
      <c r="ED26" s="140"/>
      <c r="EE26" s="140"/>
      <c r="EF26" s="140"/>
      <c r="EG26" s="140"/>
      <c r="EH26" s="140"/>
      <c r="EI26" s="140"/>
      <c r="EJ26" s="140"/>
      <c r="EK26" s="140"/>
      <c r="EL26" s="140"/>
      <c r="EM26" s="140"/>
      <c r="EN26" s="140"/>
      <c r="EO26" s="140"/>
      <c r="EP26" s="140"/>
      <c r="EQ26" s="140"/>
      <c r="ER26" s="140"/>
      <c r="ES26" s="140"/>
      <c r="ET26" s="140"/>
      <c r="EU26" s="140"/>
      <c r="EV26" s="140"/>
      <c r="EW26" s="140"/>
      <c r="EX26" s="140"/>
    </row>
    <row r="27" spans="1:154" s="34" customFormat="1" x14ac:dyDescent="0.3">
      <c r="B27" s="61">
        <v>70000</v>
      </c>
      <c r="C27" s="56">
        <f t="shared" si="0"/>
        <v>0</v>
      </c>
      <c r="D27" s="76" t="s">
        <v>28</v>
      </c>
      <c r="E27" s="77">
        <f t="shared" si="37"/>
        <v>0</v>
      </c>
      <c r="F27" s="86">
        <v>0</v>
      </c>
      <c r="G27" s="86"/>
      <c r="H27" s="98"/>
      <c r="I27" s="99">
        <v>0</v>
      </c>
      <c r="J27" s="228">
        <f t="shared" si="38"/>
        <v>0</v>
      </c>
      <c r="K27" s="226">
        <f t="shared" si="39"/>
        <v>0</v>
      </c>
      <c r="L27" s="24"/>
      <c r="M27" s="83" t="s">
        <v>123</v>
      </c>
      <c r="N27" s="65" t="s">
        <v>43</v>
      </c>
      <c r="O27" s="65"/>
      <c r="P27" s="95"/>
      <c r="Q27" s="233">
        <f t="shared" si="40"/>
        <v>0</v>
      </c>
      <c r="R27" s="233">
        <f t="shared" si="41"/>
        <v>1000</v>
      </c>
      <c r="S27" s="65"/>
      <c r="T27" s="69">
        <f>SUM(CN5:CN41)</f>
        <v>2.9155953662972935E-15</v>
      </c>
      <c r="U27" s="41"/>
      <c r="V27" s="113"/>
      <c r="W27" s="121">
        <v>0.6</v>
      </c>
      <c r="X27" s="250"/>
      <c r="Y27" s="121">
        <v>0.6</v>
      </c>
      <c r="Z27" s="250"/>
      <c r="AA27" s="121">
        <v>0.6</v>
      </c>
      <c r="AB27" s="250"/>
      <c r="AC27" s="121">
        <v>0.6</v>
      </c>
      <c r="AD27" s="250"/>
      <c r="AE27" s="121">
        <v>0.6</v>
      </c>
      <c r="AF27" s="116"/>
      <c r="AG27" s="24"/>
      <c r="AH27" s="59" t="s">
        <v>28</v>
      </c>
      <c r="AI27" s="26">
        <v>3790</v>
      </c>
      <c r="AJ27" s="25">
        <f t="shared" si="1"/>
        <v>0</v>
      </c>
      <c r="AK27" s="39">
        <v>80</v>
      </c>
      <c r="AL27" s="27">
        <f t="shared" si="2"/>
        <v>0</v>
      </c>
      <c r="AM27" s="26">
        <v>0</v>
      </c>
      <c r="AN27" s="28">
        <f t="shared" si="3"/>
        <v>0</v>
      </c>
      <c r="AO27" s="26">
        <v>0</v>
      </c>
      <c r="AP27" s="29">
        <f t="shared" si="4"/>
        <v>0</v>
      </c>
      <c r="AQ27" s="26">
        <v>0</v>
      </c>
      <c r="AR27" s="29">
        <f t="shared" si="5"/>
        <v>0</v>
      </c>
      <c r="AS27" s="26">
        <v>0</v>
      </c>
      <c r="AT27" s="29">
        <f t="shared" si="6"/>
        <v>0</v>
      </c>
      <c r="AU27" s="26">
        <v>0.5</v>
      </c>
      <c r="AV27" s="29">
        <f t="shared" si="7"/>
        <v>0</v>
      </c>
      <c r="AW27" s="26">
        <v>54.6</v>
      </c>
      <c r="AX27" s="30">
        <f t="shared" si="8"/>
        <v>0</v>
      </c>
      <c r="AY27" s="26">
        <v>0.1</v>
      </c>
      <c r="AZ27" s="30">
        <f t="shared" si="9"/>
        <v>0</v>
      </c>
      <c r="BA27" s="26">
        <v>0.16</v>
      </c>
      <c r="BB27" s="30">
        <f t="shared" si="10"/>
        <v>0</v>
      </c>
      <c r="BC27" s="26">
        <v>0.28000000000000003</v>
      </c>
      <c r="BD27" s="30">
        <f t="shared" si="11"/>
        <v>0</v>
      </c>
      <c r="BE27" s="26">
        <v>0.04</v>
      </c>
      <c r="BF27" s="30">
        <f t="shared" si="12"/>
        <v>0</v>
      </c>
      <c r="BG27" s="26">
        <v>0.56000000000000005</v>
      </c>
      <c r="BH27" s="30">
        <f t="shared" si="13"/>
        <v>0</v>
      </c>
      <c r="BI27" s="26">
        <v>0.3</v>
      </c>
      <c r="BJ27" s="30">
        <f t="shared" si="14"/>
        <v>0</v>
      </c>
      <c r="BK27" s="26">
        <v>0.49</v>
      </c>
      <c r="BL27" s="30">
        <f t="shared" si="15"/>
        <v>0</v>
      </c>
      <c r="BM27" s="26">
        <v>0.36</v>
      </c>
      <c r="BN27" s="30">
        <f t="shared" si="16"/>
        <v>0</v>
      </c>
      <c r="BO27" s="26">
        <v>0</v>
      </c>
      <c r="BP27" s="30">
        <f t="shared" si="17"/>
        <v>0</v>
      </c>
      <c r="BQ27" s="26">
        <v>0.11</v>
      </c>
      <c r="BR27" s="30">
        <f t="shared" si="18"/>
        <v>0</v>
      </c>
      <c r="BS27" s="26">
        <f>BQ27*1</f>
        <v>0.11</v>
      </c>
      <c r="BT27" s="30">
        <f t="shared" si="19"/>
        <v>0</v>
      </c>
      <c r="BU27" s="26">
        <v>0</v>
      </c>
      <c r="BV27" s="30">
        <f t="shared" si="20"/>
        <v>0</v>
      </c>
      <c r="BW27" s="26">
        <v>0</v>
      </c>
      <c r="BX27" s="30">
        <f t="shared" si="21"/>
        <v>0</v>
      </c>
      <c r="BY27" s="26">
        <v>0</v>
      </c>
      <c r="BZ27" s="30">
        <f t="shared" si="22"/>
        <v>0</v>
      </c>
      <c r="CA27" s="26">
        <v>0</v>
      </c>
      <c r="CB27" s="30">
        <f t="shared" si="23"/>
        <v>0</v>
      </c>
      <c r="CC27" s="26">
        <v>6</v>
      </c>
      <c r="CD27" s="29">
        <f t="shared" si="24"/>
        <v>0</v>
      </c>
      <c r="CE27" s="31">
        <v>0</v>
      </c>
      <c r="CF27" s="29">
        <f t="shared" si="26"/>
        <v>0</v>
      </c>
      <c r="CG27" s="26">
        <v>0</v>
      </c>
      <c r="CH27" s="30">
        <f t="shared" si="27"/>
        <v>0</v>
      </c>
      <c r="CI27" s="26">
        <v>0</v>
      </c>
      <c r="CJ27" s="29">
        <f t="shared" si="28"/>
        <v>0</v>
      </c>
      <c r="CK27" s="26">
        <v>0</v>
      </c>
      <c r="CL27" s="29">
        <f t="shared" si="29"/>
        <v>0</v>
      </c>
      <c r="CM27" s="26">
        <v>0</v>
      </c>
      <c r="CN27" s="29">
        <f t="shared" si="30"/>
        <v>0</v>
      </c>
      <c r="CO27" s="26">
        <v>0</v>
      </c>
      <c r="CP27" s="29">
        <f t="shared" si="31"/>
        <v>0</v>
      </c>
      <c r="CQ27" s="26">
        <v>0</v>
      </c>
      <c r="CR27" s="29">
        <f t="shared" si="32"/>
        <v>0</v>
      </c>
      <c r="CS27" s="26">
        <v>0</v>
      </c>
      <c r="CT27" s="29">
        <f t="shared" si="33"/>
        <v>0</v>
      </c>
      <c r="CU27" s="26">
        <v>0</v>
      </c>
      <c r="CV27" s="29">
        <f t="shared" si="35"/>
        <v>0</v>
      </c>
      <c r="CW27" s="32">
        <v>95</v>
      </c>
      <c r="CX27" s="33">
        <f t="shared" si="36"/>
        <v>0</v>
      </c>
      <c r="DC27" s="140"/>
      <c r="DD27" s="140"/>
      <c r="DE27" s="140"/>
      <c r="DF27" s="140"/>
      <c r="DG27" s="140"/>
      <c r="DH27" s="140"/>
      <c r="DI27" s="140"/>
      <c r="DJ27" s="140"/>
      <c r="DK27" s="140"/>
      <c r="DL27" s="140"/>
      <c r="DM27" s="140"/>
      <c r="DN27" s="140"/>
      <c r="DO27" s="140"/>
      <c r="DP27" s="140"/>
      <c r="DQ27" s="140"/>
      <c r="DR27" s="140"/>
      <c r="DS27" s="140"/>
      <c r="DT27" s="140"/>
      <c r="DU27" s="140"/>
      <c r="DV27" s="140"/>
      <c r="DW27" s="140"/>
      <c r="DX27" s="140"/>
      <c r="DY27" s="140"/>
      <c r="DZ27" s="140"/>
      <c r="EA27" s="140"/>
      <c r="EB27" s="140"/>
      <c r="EC27" s="140"/>
      <c r="ED27" s="140"/>
      <c r="EE27" s="140"/>
      <c r="EF27" s="140"/>
      <c r="EG27" s="140"/>
      <c r="EH27" s="140"/>
      <c r="EI27" s="140"/>
      <c r="EJ27" s="140"/>
      <c r="EK27" s="140"/>
      <c r="EL27" s="140"/>
      <c r="EM27" s="140"/>
      <c r="EN27" s="140"/>
      <c r="EO27" s="140"/>
      <c r="EP27" s="140"/>
      <c r="EQ27" s="140"/>
      <c r="ER27" s="140"/>
      <c r="ES27" s="140"/>
      <c r="ET27" s="140"/>
      <c r="EU27" s="140"/>
      <c r="EV27" s="140"/>
      <c r="EW27" s="140"/>
      <c r="EX27" s="140"/>
    </row>
    <row r="28" spans="1:154" s="1" customFormat="1" x14ac:dyDescent="0.3">
      <c r="A28" s="34"/>
      <c r="B28" s="62">
        <v>130000</v>
      </c>
      <c r="C28" s="55">
        <f t="shared" si="0"/>
        <v>1615.5614801448078</v>
      </c>
      <c r="D28" s="78" t="s">
        <v>29</v>
      </c>
      <c r="E28" s="79">
        <f t="shared" si="37"/>
        <v>12.427396001113905</v>
      </c>
      <c r="F28" s="87">
        <v>1.2427396001113906</v>
      </c>
      <c r="G28" s="87"/>
      <c r="H28" s="100"/>
      <c r="I28" s="101"/>
      <c r="J28" s="228">
        <f t="shared" si="38"/>
        <v>0</v>
      </c>
      <c r="K28" s="226">
        <f t="shared" si="39"/>
        <v>100</v>
      </c>
      <c r="L28" s="24"/>
      <c r="M28" s="84"/>
      <c r="N28" s="66"/>
      <c r="O28" s="66"/>
      <c r="P28" s="96"/>
      <c r="Q28" s="235"/>
      <c r="R28" s="235"/>
      <c r="S28" s="66"/>
      <c r="T28" s="70"/>
      <c r="U28" s="41"/>
      <c r="V28" s="114"/>
      <c r="W28" s="123"/>
      <c r="X28" s="251"/>
      <c r="Y28" s="123"/>
      <c r="Z28" s="251"/>
      <c r="AA28" s="123"/>
      <c r="AB28" s="251"/>
      <c r="AC28" s="123"/>
      <c r="AD28" s="251"/>
      <c r="AE28" s="123"/>
      <c r="AF28" s="117"/>
      <c r="AG28" s="24"/>
      <c r="AH28" s="60" t="s">
        <v>29</v>
      </c>
      <c r="AI28" s="10">
        <v>3800</v>
      </c>
      <c r="AJ28" s="6">
        <f t="shared" si="1"/>
        <v>47.224104804232844</v>
      </c>
      <c r="AK28" s="22">
        <v>93.4</v>
      </c>
      <c r="AL28" s="7">
        <f t="shared" si="2"/>
        <v>1.1607187865040389</v>
      </c>
      <c r="AM28" s="10">
        <v>0</v>
      </c>
      <c r="AN28" s="13">
        <f t="shared" si="3"/>
        <v>0</v>
      </c>
      <c r="AO28" s="10">
        <v>0</v>
      </c>
      <c r="AP28" s="14">
        <f t="shared" si="4"/>
        <v>0</v>
      </c>
      <c r="AQ28" s="10">
        <v>0</v>
      </c>
      <c r="AR28" s="14">
        <f t="shared" si="5"/>
        <v>0</v>
      </c>
      <c r="AS28" s="10">
        <v>0</v>
      </c>
      <c r="AT28" s="14">
        <f t="shared" si="6"/>
        <v>0</v>
      </c>
      <c r="AU28" s="10">
        <v>0.5</v>
      </c>
      <c r="AV28" s="14">
        <f t="shared" si="7"/>
        <v>6.2136980005569531E-3</v>
      </c>
      <c r="AW28" s="10">
        <v>78</v>
      </c>
      <c r="AX28" s="17">
        <f t="shared" si="8"/>
        <v>0.96933688808688467</v>
      </c>
      <c r="AY28" s="10">
        <v>0</v>
      </c>
      <c r="AZ28" s="17">
        <f t="shared" si="9"/>
        <v>0</v>
      </c>
      <c r="BA28" s="10">
        <v>0</v>
      </c>
      <c r="BB28" s="17">
        <f t="shared" si="10"/>
        <v>0</v>
      </c>
      <c r="BC28" s="10">
        <v>0</v>
      </c>
      <c r="BD28" s="17">
        <f t="shared" si="11"/>
        <v>0</v>
      </c>
      <c r="BE28" s="10">
        <v>0</v>
      </c>
      <c r="BF28" s="17">
        <f t="shared" si="12"/>
        <v>0</v>
      </c>
      <c r="BG28" s="10">
        <v>0</v>
      </c>
      <c r="BH28" s="17">
        <f t="shared" si="13"/>
        <v>0</v>
      </c>
      <c r="BI28" s="10">
        <v>0</v>
      </c>
      <c r="BJ28" s="17">
        <f t="shared" si="14"/>
        <v>0</v>
      </c>
      <c r="BK28" s="10">
        <v>0</v>
      </c>
      <c r="BL28" s="17">
        <f t="shared" si="15"/>
        <v>0</v>
      </c>
      <c r="BM28" s="10">
        <v>0</v>
      </c>
      <c r="BN28" s="17">
        <f t="shared" si="16"/>
        <v>0</v>
      </c>
      <c r="BO28" s="10">
        <v>0</v>
      </c>
      <c r="BP28" s="17">
        <f t="shared" si="17"/>
        <v>0</v>
      </c>
      <c r="BQ28" s="10">
        <v>0</v>
      </c>
      <c r="BR28" s="17">
        <f t="shared" si="18"/>
        <v>0</v>
      </c>
      <c r="BS28" s="10">
        <v>0</v>
      </c>
      <c r="BT28" s="17">
        <f t="shared" si="19"/>
        <v>0</v>
      </c>
      <c r="BU28" s="12">
        <v>0</v>
      </c>
      <c r="BV28" s="18">
        <f t="shared" si="20"/>
        <v>0</v>
      </c>
      <c r="BW28" s="10">
        <v>0</v>
      </c>
      <c r="BX28" s="17">
        <f t="shared" si="21"/>
        <v>0</v>
      </c>
      <c r="BY28" s="10">
        <v>0</v>
      </c>
      <c r="BZ28" s="17">
        <f t="shared" si="22"/>
        <v>0</v>
      </c>
      <c r="CA28" s="10">
        <v>19.399999999999999</v>
      </c>
      <c r="CB28" s="17">
        <f t="shared" si="23"/>
        <v>0.24109148242160974</v>
      </c>
      <c r="CC28" s="10">
        <v>0</v>
      </c>
      <c r="CD28" s="14">
        <f t="shared" si="24"/>
        <v>0</v>
      </c>
      <c r="CE28" s="21">
        <f>(BW28*435)+(BY28*256)-(CA28*282)</f>
        <v>-5470.7999999999993</v>
      </c>
      <c r="CF28" s="14">
        <f t="shared" si="26"/>
        <v>-67.987798042893942</v>
      </c>
      <c r="CG28" s="10">
        <v>0</v>
      </c>
      <c r="CH28" s="17">
        <f t="shared" si="27"/>
        <v>0</v>
      </c>
      <c r="CI28" s="10">
        <v>0</v>
      </c>
      <c r="CJ28" s="14">
        <f t="shared" si="28"/>
        <v>0</v>
      </c>
      <c r="CK28" s="10">
        <v>0</v>
      </c>
      <c r="CL28" s="14">
        <f t="shared" si="29"/>
        <v>0</v>
      </c>
      <c r="CM28" s="10">
        <v>0</v>
      </c>
      <c r="CN28" s="14">
        <f t="shared" si="30"/>
        <v>0</v>
      </c>
      <c r="CO28" s="10">
        <v>0</v>
      </c>
      <c r="CP28" s="14">
        <f t="shared" si="31"/>
        <v>0</v>
      </c>
      <c r="CQ28" s="10">
        <v>0</v>
      </c>
      <c r="CR28" s="14">
        <f t="shared" si="32"/>
        <v>0</v>
      </c>
      <c r="CS28" s="10">
        <v>0</v>
      </c>
      <c r="CT28" s="14">
        <f t="shared" si="33"/>
        <v>0</v>
      </c>
      <c r="CU28" s="10">
        <v>0</v>
      </c>
      <c r="CV28" s="14">
        <f t="shared" si="35"/>
        <v>0</v>
      </c>
      <c r="CW28" s="11">
        <v>98</v>
      </c>
      <c r="CX28" s="20">
        <f t="shared" si="36"/>
        <v>1.2178848081091629</v>
      </c>
      <c r="CY28" s="34"/>
      <c r="CZ28" s="34"/>
      <c r="DA28" s="34"/>
      <c r="DB28" s="34"/>
      <c r="DC28" s="140"/>
      <c r="DD28" s="140"/>
      <c r="DE28" s="140"/>
      <c r="DF28" s="140"/>
      <c r="DG28" s="140"/>
      <c r="DH28" s="140"/>
      <c r="DI28" s="140"/>
      <c r="DJ28" s="140"/>
      <c r="DK28" s="140"/>
      <c r="DL28" s="140"/>
      <c r="DM28" s="140"/>
      <c r="DN28" s="140"/>
      <c r="DO28" s="140"/>
      <c r="DP28" s="140"/>
      <c r="DQ28" s="140"/>
      <c r="DR28" s="140"/>
      <c r="DS28" s="140"/>
      <c r="DT28" s="140"/>
      <c r="DU28" s="140"/>
      <c r="DV28" s="140"/>
      <c r="DW28" s="140"/>
      <c r="DX28" s="140"/>
      <c r="DY28" s="140"/>
      <c r="DZ28" s="140"/>
      <c r="EA28" s="140"/>
      <c r="EB28" s="140"/>
      <c r="EC28" s="140"/>
      <c r="ED28" s="140"/>
      <c r="EE28" s="140"/>
      <c r="EF28" s="140"/>
      <c r="EG28" s="140"/>
      <c r="EH28" s="140"/>
      <c r="EI28" s="140"/>
      <c r="EJ28" s="140"/>
      <c r="EK28" s="140"/>
      <c r="EL28" s="140"/>
      <c r="EM28" s="140"/>
      <c r="EN28" s="140"/>
      <c r="EO28" s="140"/>
      <c r="EP28" s="140"/>
      <c r="EQ28" s="140"/>
      <c r="ER28" s="140"/>
      <c r="ES28" s="140"/>
      <c r="ET28" s="140"/>
      <c r="EU28" s="140"/>
      <c r="EV28" s="140"/>
      <c r="EW28" s="140"/>
      <c r="EX28" s="140"/>
    </row>
    <row r="29" spans="1:154" s="34" customFormat="1" x14ac:dyDescent="0.3">
      <c r="B29" s="61">
        <v>200000</v>
      </c>
      <c r="C29" s="56">
        <f t="shared" si="0"/>
        <v>605.404988464952</v>
      </c>
      <c r="D29" s="76" t="s">
        <v>30</v>
      </c>
      <c r="E29" s="77">
        <f t="shared" si="37"/>
        <v>3.0270249423247595</v>
      </c>
      <c r="F29" s="86">
        <v>0.30270249423247597</v>
      </c>
      <c r="G29" s="86"/>
      <c r="H29" s="98"/>
      <c r="I29" s="99"/>
      <c r="J29" s="228">
        <f t="shared" si="38"/>
        <v>0</v>
      </c>
      <c r="K29" s="226">
        <f t="shared" si="39"/>
        <v>100</v>
      </c>
      <c r="L29" s="24"/>
      <c r="M29" s="83"/>
      <c r="N29" s="65"/>
      <c r="O29" s="65"/>
      <c r="P29" s="95"/>
      <c r="Q29" s="233"/>
      <c r="R29" s="233"/>
      <c r="S29" s="65"/>
      <c r="T29" s="71"/>
      <c r="U29" s="41"/>
      <c r="V29" s="114"/>
      <c r="W29" s="124"/>
      <c r="X29" s="251"/>
      <c r="Y29" s="124"/>
      <c r="Z29" s="251"/>
      <c r="AA29" s="124"/>
      <c r="AB29" s="251"/>
      <c r="AC29" s="124"/>
      <c r="AD29" s="251"/>
      <c r="AE29" s="124"/>
      <c r="AF29" s="117"/>
      <c r="AG29" s="24"/>
      <c r="AH29" s="59" t="s">
        <v>30</v>
      </c>
      <c r="AI29" s="31">
        <v>3280</v>
      </c>
      <c r="AJ29" s="25">
        <f t="shared" si="1"/>
        <v>9.9286418108252104</v>
      </c>
      <c r="AK29" s="26">
        <v>73.5</v>
      </c>
      <c r="AL29" s="27">
        <f t="shared" si="2"/>
        <v>0.22248633326086983</v>
      </c>
      <c r="AM29" s="26">
        <v>0</v>
      </c>
      <c r="AN29" s="28">
        <f t="shared" si="3"/>
        <v>0</v>
      </c>
      <c r="AO29" s="26">
        <v>0</v>
      </c>
      <c r="AP29" s="29">
        <f t="shared" si="4"/>
        <v>0</v>
      </c>
      <c r="AQ29" s="26">
        <v>0</v>
      </c>
      <c r="AR29" s="29">
        <f t="shared" si="5"/>
        <v>0</v>
      </c>
      <c r="AS29" s="26">
        <v>0</v>
      </c>
      <c r="AT29" s="29">
        <f t="shared" si="6"/>
        <v>0</v>
      </c>
      <c r="AU29" s="26">
        <v>0.5</v>
      </c>
      <c r="AV29" s="29">
        <f t="shared" si="7"/>
        <v>1.5135124711623798E-3</v>
      </c>
      <c r="AW29" s="26">
        <v>0</v>
      </c>
      <c r="AX29" s="30">
        <f t="shared" si="8"/>
        <v>0</v>
      </c>
      <c r="AY29" s="26">
        <v>0</v>
      </c>
      <c r="AZ29" s="30">
        <f t="shared" si="9"/>
        <v>0</v>
      </c>
      <c r="BA29" s="26">
        <v>0</v>
      </c>
      <c r="BB29" s="30">
        <f t="shared" si="10"/>
        <v>0</v>
      </c>
      <c r="BC29" s="26">
        <v>98.5</v>
      </c>
      <c r="BD29" s="30">
        <f t="shared" si="11"/>
        <v>0.29816195681898883</v>
      </c>
      <c r="BE29" s="26">
        <v>0</v>
      </c>
      <c r="BF29" s="30">
        <f t="shared" si="12"/>
        <v>0</v>
      </c>
      <c r="BG29" s="26">
        <v>0</v>
      </c>
      <c r="BH29" s="30">
        <f t="shared" si="13"/>
        <v>0</v>
      </c>
      <c r="BI29" s="26">
        <v>0</v>
      </c>
      <c r="BJ29" s="30">
        <f t="shared" si="14"/>
        <v>0</v>
      </c>
      <c r="BK29" s="26">
        <v>0</v>
      </c>
      <c r="BL29" s="30">
        <f t="shared" si="15"/>
        <v>0</v>
      </c>
      <c r="BM29" s="26">
        <v>0</v>
      </c>
      <c r="BN29" s="30">
        <f t="shared" si="16"/>
        <v>0</v>
      </c>
      <c r="BO29" s="26">
        <v>0</v>
      </c>
      <c r="BP29" s="30">
        <f t="shared" si="17"/>
        <v>0</v>
      </c>
      <c r="BQ29" s="26">
        <v>0</v>
      </c>
      <c r="BR29" s="30">
        <f t="shared" si="18"/>
        <v>0</v>
      </c>
      <c r="BS29" s="26">
        <v>0</v>
      </c>
      <c r="BT29" s="30">
        <f t="shared" si="19"/>
        <v>0</v>
      </c>
      <c r="BU29" s="26">
        <v>0</v>
      </c>
      <c r="BV29" s="30">
        <f t="shared" si="20"/>
        <v>0</v>
      </c>
      <c r="BW29" s="26">
        <v>0</v>
      </c>
      <c r="BX29" s="30">
        <f t="shared" si="21"/>
        <v>0</v>
      </c>
      <c r="BY29" s="26">
        <v>0</v>
      </c>
      <c r="BZ29" s="30">
        <f t="shared" si="22"/>
        <v>0</v>
      </c>
      <c r="CA29" s="26">
        <v>0</v>
      </c>
      <c r="CB29" s="30">
        <f t="shared" si="23"/>
        <v>0</v>
      </c>
      <c r="CC29" s="26">
        <v>0</v>
      </c>
      <c r="CD29" s="29">
        <f t="shared" si="24"/>
        <v>0</v>
      </c>
      <c r="CE29" s="31">
        <v>0</v>
      </c>
      <c r="CF29" s="29">
        <f t="shared" si="26"/>
        <v>0</v>
      </c>
      <c r="CG29" s="26">
        <v>0</v>
      </c>
      <c r="CH29" s="30">
        <f t="shared" si="27"/>
        <v>0</v>
      </c>
      <c r="CI29" s="26">
        <v>0</v>
      </c>
      <c r="CJ29" s="29">
        <f t="shared" si="28"/>
        <v>0</v>
      </c>
      <c r="CK29" s="26">
        <v>0</v>
      </c>
      <c r="CL29" s="29">
        <f t="shared" si="29"/>
        <v>0</v>
      </c>
      <c r="CM29" s="26">
        <v>0</v>
      </c>
      <c r="CN29" s="29">
        <f t="shared" si="30"/>
        <v>0</v>
      </c>
      <c r="CO29" s="26">
        <v>0</v>
      </c>
      <c r="CP29" s="29">
        <f t="shared" si="31"/>
        <v>0</v>
      </c>
      <c r="CQ29" s="26">
        <v>0</v>
      </c>
      <c r="CR29" s="29">
        <f t="shared" si="32"/>
        <v>0</v>
      </c>
      <c r="CS29" s="26">
        <v>0</v>
      </c>
      <c r="CT29" s="29">
        <f t="shared" si="33"/>
        <v>0</v>
      </c>
      <c r="CU29" s="26">
        <v>0</v>
      </c>
      <c r="CV29" s="29">
        <f t="shared" si="35"/>
        <v>0</v>
      </c>
      <c r="CW29" s="32">
        <v>98</v>
      </c>
      <c r="CX29" s="33">
        <f t="shared" si="36"/>
        <v>0.29664844434782645</v>
      </c>
      <c r="DC29" s="140"/>
      <c r="DD29" s="140"/>
      <c r="DE29" s="140"/>
      <c r="DF29" s="140"/>
      <c r="DG29" s="140"/>
      <c r="DH29" s="140"/>
      <c r="DI29" s="140"/>
      <c r="DJ29" s="140"/>
      <c r="DK29" s="140"/>
      <c r="DL29" s="140"/>
      <c r="DM29" s="140"/>
      <c r="DN29" s="140"/>
      <c r="DO29" s="140"/>
      <c r="DP29" s="140"/>
      <c r="DQ29" s="140"/>
      <c r="DR29" s="140"/>
      <c r="DS29" s="140"/>
      <c r="DT29" s="140"/>
      <c r="DU29" s="140"/>
      <c r="DV29" s="140"/>
      <c r="DW29" s="140"/>
      <c r="DX29" s="140"/>
      <c r="DY29" s="140"/>
      <c r="DZ29" s="140"/>
      <c r="EA29" s="140"/>
      <c r="EB29" s="140"/>
      <c r="EC29" s="140"/>
      <c r="ED29" s="140"/>
      <c r="EE29" s="140"/>
      <c r="EF29" s="140"/>
      <c r="EG29" s="140"/>
      <c r="EH29" s="140"/>
      <c r="EI29" s="140"/>
      <c r="EJ29" s="140"/>
      <c r="EK29" s="140"/>
      <c r="EL29" s="140"/>
      <c r="EM29" s="140"/>
      <c r="EN29" s="140"/>
      <c r="EO29" s="140"/>
      <c r="EP29" s="140"/>
      <c r="EQ29" s="140"/>
      <c r="ER29" s="140"/>
      <c r="ES29" s="140"/>
      <c r="ET29" s="140"/>
      <c r="EU29" s="140"/>
      <c r="EV29" s="140"/>
      <c r="EW29" s="140"/>
      <c r="EX29" s="140"/>
    </row>
    <row r="30" spans="1:154" s="1" customFormat="1" x14ac:dyDescent="0.3">
      <c r="A30" s="34"/>
      <c r="B30" s="62">
        <v>400000</v>
      </c>
      <c r="C30" s="55">
        <f t="shared" si="0"/>
        <v>0</v>
      </c>
      <c r="D30" s="78" t="s">
        <v>31</v>
      </c>
      <c r="E30" s="79">
        <f t="shared" si="37"/>
        <v>0</v>
      </c>
      <c r="F30" s="87">
        <v>0</v>
      </c>
      <c r="G30" s="87"/>
      <c r="H30" s="100"/>
      <c r="I30" s="101">
        <v>0</v>
      </c>
      <c r="J30" s="228">
        <f t="shared" si="38"/>
        <v>0</v>
      </c>
      <c r="K30" s="226">
        <f t="shared" si="39"/>
        <v>0</v>
      </c>
      <c r="L30" s="24"/>
      <c r="M30" s="84"/>
      <c r="N30" s="66"/>
      <c r="O30" s="66"/>
      <c r="P30" s="96"/>
      <c r="Q30" s="235"/>
      <c r="R30" s="235"/>
      <c r="S30" s="66"/>
      <c r="T30" s="70"/>
      <c r="U30" s="41"/>
      <c r="V30" s="114"/>
      <c r="W30" s="104"/>
      <c r="X30" s="252"/>
      <c r="Y30" s="104"/>
      <c r="Z30" s="252"/>
      <c r="AA30" s="104"/>
      <c r="AB30" s="252"/>
      <c r="AC30" s="104"/>
      <c r="AD30" s="252"/>
      <c r="AE30" s="104"/>
      <c r="AF30" s="117"/>
      <c r="AG30" s="24"/>
      <c r="AH30" s="60" t="s">
        <v>31</v>
      </c>
      <c r="AI30" s="21">
        <v>5250</v>
      </c>
      <c r="AJ30" s="6">
        <f t="shared" si="1"/>
        <v>0</v>
      </c>
      <c r="AK30" s="10">
        <v>85.75</v>
      </c>
      <c r="AL30" s="7">
        <f t="shared" si="2"/>
        <v>0</v>
      </c>
      <c r="AM30" s="10">
        <v>0</v>
      </c>
      <c r="AN30" s="13">
        <f t="shared" si="3"/>
        <v>0</v>
      </c>
      <c r="AO30" s="10">
        <v>0</v>
      </c>
      <c r="AP30" s="14">
        <f t="shared" si="4"/>
        <v>0</v>
      </c>
      <c r="AQ30" s="10">
        <v>0</v>
      </c>
      <c r="AR30" s="14">
        <f t="shared" si="5"/>
        <v>0</v>
      </c>
      <c r="AS30" s="10">
        <v>0</v>
      </c>
      <c r="AT30" s="14">
        <f t="shared" si="6"/>
        <v>0</v>
      </c>
      <c r="AU30" s="10">
        <v>0.5</v>
      </c>
      <c r="AV30" s="14">
        <f t="shared" si="7"/>
        <v>0</v>
      </c>
      <c r="AW30" s="10">
        <v>0</v>
      </c>
      <c r="AX30" s="17">
        <f t="shared" si="8"/>
        <v>0</v>
      </c>
      <c r="AY30" s="10">
        <v>0</v>
      </c>
      <c r="AZ30" s="17">
        <f t="shared" si="9"/>
        <v>0</v>
      </c>
      <c r="BA30" s="10">
        <v>0</v>
      </c>
      <c r="BB30" s="17">
        <f t="shared" si="10"/>
        <v>0</v>
      </c>
      <c r="BC30" s="10">
        <v>0</v>
      </c>
      <c r="BD30" s="17">
        <f t="shared" si="11"/>
        <v>0</v>
      </c>
      <c r="BE30" s="10">
        <v>98</v>
      </c>
      <c r="BF30" s="17">
        <f t="shared" si="12"/>
        <v>0</v>
      </c>
      <c r="BG30" s="10">
        <v>0</v>
      </c>
      <c r="BH30" s="17">
        <f t="shared" si="13"/>
        <v>0</v>
      </c>
      <c r="BI30" s="10">
        <v>0</v>
      </c>
      <c r="BJ30" s="17">
        <f t="shared" si="14"/>
        <v>0</v>
      </c>
      <c r="BK30" s="10">
        <v>0</v>
      </c>
      <c r="BL30" s="17">
        <f t="shared" si="15"/>
        <v>0</v>
      </c>
      <c r="BM30" s="10">
        <v>0</v>
      </c>
      <c r="BN30" s="17">
        <f t="shared" si="16"/>
        <v>0</v>
      </c>
      <c r="BO30" s="10">
        <v>0</v>
      </c>
      <c r="BP30" s="17">
        <f t="shared" si="17"/>
        <v>0</v>
      </c>
      <c r="BQ30" s="10">
        <v>0</v>
      </c>
      <c r="BR30" s="17">
        <f t="shared" si="18"/>
        <v>0</v>
      </c>
      <c r="BS30" s="10">
        <v>0</v>
      </c>
      <c r="BT30" s="17">
        <f t="shared" si="19"/>
        <v>0</v>
      </c>
      <c r="BU30" s="12">
        <v>0</v>
      </c>
      <c r="BV30" s="18">
        <f t="shared" si="20"/>
        <v>0</v>
      </c>
      <c r="BW30" s="10">
        <v>0</v>
      </c>
      <c r="BX30" s="17">
        <f t="shared" si="21"/>
        <v>0</v>
      </c>
      <c r="BY30" s="10">
        <v>0</v>
      </c>
      <c r="BZ30" s="17">
        <f t="shared" si="22"/>
        <v>0</v>
      </c>
      <c r="CA30" s="10">
        <v>0</v>
      </c>
      <c r="CB30" s="17">
        <f t="shared" si="23"/>
        <v>0</v>
      </c>
      <c r="CC30" s="10">
        <v>0</v>
      </c>
      <c r="CD30" s="14">
        <f t="shared" si="24"/>
        <v>0</v>
      </c>
      <c r="CE30" s="21">
        <v>0</v>
      </c>
      <c r="CF30" s="14">
        <f t="shared" si="26"/>
        <v>0</v>
      </c>
      <c r="CG30" s="10">
        <v>0</v>
      </c>
      <c r="CH30" s="17">
        <f t="shared" si="27"/>
        <v>0</v>
      </c>
      <c r="CI30" s="10">
        <v>0</v>
      </c>
      <c r="CJ30" s="14">
        <f t="shared" si="28"/>
        <v>0</v>
      </c>
      <c r="CK30" s="10">
        <v>0</v>
      </c>
      <c r="CL30" s="14">
        <f t="shared" si="29"/>
        <v>0</v>
      </c>
      <c r="CM30" s="10">
        <v>0</v>
      </c>
      <c r="CN30" s="14">
        <f t="shared" si="30"/>
        <v>0</v>
      </c>
      <c r="CO30" s="10">
        <v>0</v>
      </c>
      <c r="CP30" s="14">
        <f t="shared" si="31"/>
        <v>0</v>
      </c>
      <c r="CQ30" s="10">
        <v>0</v>
      </c>
      <c r="CR30" s="14">
        <f t="shared" si="32"/>
        <v>0</v>
      </c>
      <c r="CS30" s="10">
        <v>0</v>
      </c>
      <c r="CT30" s="14">
        <f t="shared" si="33"/>
        <v>0</v>
      </c>
      <c r="CU30" s="10">
        <v>0</v>
      </c>
      <c r="CV30" s="14">
        <f t="shared" si="35"/>
        <v>0</v>
      </c>
      <c r="CW30" s="11">
        <v>98</v>
      </c>
      <c r="CX30" s="20">
        <f t="shared" si="36"/>
        <v>0</v>
      </c>
      <c r="CY30" s="34"/>
      <c r="CZ30" s="34"/>
      <c r="DA30" s="34"/>
      <c r="DB30" s="34"/>
      <c r="DC30" s="140"/>
      <c r="DD30" s="140"/>
      <c r="DE30" s="140"/>
      <c r="DF30" s="140"/>
      <c r="DG30" s="140"/>
      <c r="DH30" s="140"/>
      <c r="DI30" s="140"/>
      <c r="DJ30" s="140"/>
      <c r="DK30" s="140"/>
      <c r="DL30" s="140"/>
      <c r="DM30" s="140"/>
      <c r="DN30" s="140"/>
      <c r="DO30" s="140"/>
      <c r="DP30" s="140"/>
      <c r="DQ30" s="140"/>
      <c r="DR30" s="140"/>
      <c r="DS30" s="140"/>
      <c r="DT30" s="140"/>
      <c r="DU30" s="140"/>
      <c r="DV30" s="140"/>
      <c r="DW30" s="140"/>
      <c r="DX30" s="140"/>
      <c r="DY30" s="140"/>
      <c r="DZ30" s="140"/>
      <c r="EA30" s="140"/>
      <c r="EB30" s="140"/>
      <c r="EC30" s="140"/>
      <c r="ED30" s="140"/>
      <c r="EE30" s="140"/>
      <c r="EF30" s="140"/>
      <c r="EG30" s="140"/>
      <c r="EH30" s="140"/>
      <c r="EI30" s="140"/>
      <c r="EJ30" s="140"/>
      <c r="EK30" s="140"/>
      <c r="EL30" s="140"/>
      <c r="EM30" s="140"/>
      <c r="EN30" s="140"/>
      <c r="EO30" s="140"/>
      <c r="EP30" s="140"/>
      <c r="EQ30" s="140"/>
      <c r="ER30" s="140"/>
      <c r="ES30" s="140"/>
      <c r="ET30" s="140"/>
      <c r="EU30" s="140"/>
      <c r="EV30" s="140"/>
      <c r="EW30" s="140"/>
      <c r="EX30" s="140"/>
    </row>
    <row r="31" spans="1:154" s="34" customFormat="1" x14ac:dyDescent="0.3">
      <c r="B31" s="61">
        <v>300000</v>
      </c>
      <c r="C31" s="56">
        <f t="shared" si="0"/>
        <v>0</v>
      </c>
      <c r="D31" s="76" t="s">
        <v>32</v>
      </c>
      <c r="E31" s="77">
        <f t="shared" si="37"/>
        <v>0</v>
      </c>
      <c r="F31" s="86">
        <v>0</v>
      </c>
      <c r="G31" s="86"/>
      <c r="H31" s="98"/>
      <c r="I31" s="99"/>
      <c r="J31" s="228">
        <f t="shared" si="38"/>
        <v>0</v>
      </c>
      <c r="K31" s="226">
        <f t="shared" si="39"/>
        <v>100</v>
      </c>
      <c r="L31" s="24"/>
      <c r="M31" s="83"/>
      <c r="N31" s="65"/>
      <c r="O31" s="65"/>
      <c r="P31" s="95"/>
      <c r="Q31" s="233"/>
      <c r="R31" s="233"/>
      <c r="S31" s="65"/>
      <c r="T31" s="71"/>
      <c r="U31" s="41"/>
      <c r="V31" s="114"/>
      <c r="W31" s="105"/>
      <c r="X31" s="252"/>
      <c r="Y31" s="105"/>
      <c r="Z31" s="252"/>
      <c r="AA31" s="105"/>
      <c r="AB31" s="252"/>
      <c r="AC31" s="105"/>
      <c r="AD31" s="252"/>
      <c r="AE31" s="105"/>
      <c r="AF31" s="117"/>
      <c r="AG31" s="24"/>
      <c r="AH31" s="59" t="s">
        <v>32</v>
      </c>
      <c r="AI31" s="31">
        <v>4980</v>
      </c>
      <c r="AJ31" s="25">
        <f t="shared" si="1"/>
        <v>0</v>
      </c>
      <c r="AK31" s="26">
        <v>74.75</v>
      </c>
      <c r="AL31" s="27">
        <f t="shared" si="2"/>
        <v>0</v>
      </c>
      <c r="AM31" s="26">
        <v>0</v>
      </c>
      <c r="AN31" s="28">
        <f t="shared" si="3"/>
        <v>0</v>
      </c>
      <c r="AO31" s="26">
        <v>0</v>
      </c>
      <c r="AP31" s="29">
        <f t="shared" si="4"/>
        <v>0</v>
      </c>
      <c r="AQ31" s="26">
        <v>0</v>
      </c>
      <c r="AR31" s="29">
        <f t="shared" si="5"/>
        <v>0</v>
      </c>
      <c r="AS31" s="35">
        <v>0</v>
      </c>
      <c r="AT31" s="29">
        <f t="shared" si="6"/>
        <v>0</v>
      </c>
      <c r="AU31" s="26">
        <v>0.5</v>
      </c>
      <c r="AV31" s="29">
        <f t="shared" si="7"/>
        <v>0</v>
      </c>
      <c r="AW31" s="26">
        <v>0</v>
      </c>
      <c r="AX31" s="30">
        <f t="shared" si="8"/>
        <v>0</v>
      </c>
      <c r="AY31" s="26">
        <v>0</v>
      </c>
      <c r="AZ31" s="30">
        <f t="shared" si="9"/>
        <v>0</v>
      </c>
      <c r="BA31" s="26">
        <v>0</v>
      </c>
      <c r="BB31" s="30">
        <f t="shared" si="10"/>
        <v>0</v>
      </c>
      <c r="BC31" s="26">
        <v>0</v>
      </c>
      <c r="BD31" s="30">
        <f t="shared" si="11"/>
        <v>0</v>
      </c>
      <c r="BE31" s="26">
        <v>0</v>
      </c>
      <c r="BF31" s="30">
        <f t="shared" si="12"/>
        <v>0</v>
      </c>
      <c r="BG31" s="26">
        <v>0</v>
      </c>
      <c r="BH31" s="30">
        <f t="shared" si="13"/>
        <v>0</v>
      </c>
      <c r="BI31" s="26">
        <v>0</v>
      </c>
      <c r="BJ31" s="30">
        <f t="shared" si="14"/>
        <v>0</v>
      </c>
      <c r="BK31" s="26">
        <v>0</v>
      </c>
      <c r="BL31" s="30">
        <f t="shared" si="15"/>
        <v>0</v>
      </c>
      <c r="BM31" s="26">
        <v>99</v>
      </c>
      <c r="BN31" s="30">
        <f t="shared" si="16"/>
        <v>0</v>
      </c>
      <c r="BO31" s="26">
        <v>0</v>
      </c>
      <c r="BP31" s="30">
        <f t="shared" si="17"/>
        <v>0</v>
      </c>
      <c r="BQ31" s="26">
        <v>0</v>
      </c>
      <c r="BR31" s="30">
        <f t="shared" si="18"/>
        <v>0</v>
      </c>
      <c r="BS31" s="26">
        <v>0</v>
      </c>
      <c r="BT31" s="30">
        <f t="shared" si="19"/>
        <v>0</v>
      </c>
      <c r="BU31" s="26">
        <v>0</v>
      </c>
      <c r="BV31" s="30">
        <f t="shared" si="20"/>
        <v>0</v>
      </c>
      <c r="BW31" s="26">
        <v>0</v>
      </c>
      <c r="BX31" s="30">
        <f t="shared" si="21"/>
        <v>0</v>
      </c>
      <c r="BY31" s="26">
        <v>0</v>
      </c>
      <c r="BZ31" s="30">
        <f t="shared" si="22"/>
        <v>0</v>
      </c>
      <c r="CA31" s="26">
        <v>0</v>
      </c>
      <c r="CB31" s="30">
        <f t="shared" si="23"/>
        <v>0</v>
      </c>
      <c r="CC31" s="26">
        <v>0</v>
      </c>
      <c r="CD31" s="29">
        <f t="shared" si="24"/>
        <v>0</v>
      </c>
      <c r="CE31" s="31">
        <v>0</v>
      </c>
      <c r="CF31" s="29">
        <f t="shared" si="26"/>
        <v>0</v>
      </c>
      <c r="CG31" s="26">
        <v>0</v>
      </c>
      <c r="CH31" s="30">
        <f t="shared" si="27"/>
        <v>0</v>
      </c>
      <c r="CI31" s="26">
        <v>0</v>
      </c>
      <c r="CJ31" s="29">
        <f t="shared" si="28"/>
        <v>0</v>
      </c>
      <c r="CK31" s="26">
        <v>0</v>
      </c>
      <c r="CL31" s="29">
        <f t="shared" si="29"/>
        <v>0</v>
      </c>
      <c r="CM31" s="26">
        <v>0</v>
      </c>
      <c r="CN31" s="29">
        <f t="shared" si="30"/>
        <v>0</v>
      </c>
      <c r="CO31" s="26">
        <v>0</v>
      </c>
      <c r="CP31" s="29">
        <f t="shared" si="31"/>
        <v>0</v>
      </c>
      <c r="CQ31" s="26">
        <v>0</v>
      </c>
      <c r="CR31" s="29">
        <f t="shared" si="32"/>
        <v>0</v>
      </c>
      <c r="CS31" s="26">
        <v>0</v>
      </c>
      <c r="CT31" s="29">
        <f t="shared" si="33"/>
        <v>0</v>
      </c>
      <c r="CU31" s="26">
        <v>0</v>
      </c>
      <c r="CV31" s="29">
        <f t="shared" si="35"/>
        <v>0</v>
      </c>
      <c r="CW31" s="32">
        <v>98</v>
      </c>
      <c r="CX31" s="33">
        <f t="shared" si="36"/>
        <v>0</v>
      </c>
      <c r="DC31" s="140"/>
      <c r="DD31" s="140"/>
      <c r="DE31" s="140"/>
      <c r="DF31" s="140"/>
      <c r="DG31" s="140"/>
      <c r="DH31" s="140"/>
      <c r="DI31" s="140"/>
      <c r="DJ31" s="140"/>
      <c r="DK31" s="140"/>
      <c r="DL31" s="140"/>
      <c r="DM31" s="140"/>
      <c r="DN31" s="140"/>
      <c r="DO31" s="140"/>
      <c r="DP31" s="140"/>
      <c r="DQ31" s="140"/>
      <c r="DR31" s="140"/>
      <c r="DS31" s="140"/>
      <c r="DT31" s="140"/>
      <c r="DU31" s="140"/>
      <c r="DV31" s="140"/>
      <c r="DW31" s="140"/>
      <c r="DX31" s="140"/>
      <c r="DY31" s="140"/>
      <c r="DZ31" s="140"/>
      <c r="EA31" s="140"/>
      <c r="EB31" s="140"/>
      <c r="EC31" s="140"/>
      <c r="ED31" s="140"/>
      <c r="EE31" s="140"/>
      <c r="EF31" s="140"/>
      <c r="EG31" s="140"/>
      <c r="EH31" s="140"/>
      <c r="EI31" s="140"/>
      <c r="EJ31" s="140"/>
      <c r="EK31" s="140"/>
      <c r="EL31" s="140"/>
      <c r="EM31" s="140"/>
      <c r="EN31" s="140"/>
      <c r="EO31" s="140"/>
      <c r="EP31" s="140"/>
      <c r="EQ31" s="140"/>
      <c r="ER31" s="140"/>
      <c r="ES31" s="140"/>
      <c r="ET31" s="140"/>
      <c r="EU31" s="140"/>
      <c r="EV31" s="140"/>
      <c r="EW31" s="140"/>
      <c r="EX31" s="140"/>
    </row>
    <row r="32" spans="1:154" s="1" customFormat="1" x14ac:dyDescent="0.3">
      <c r="A32" s="34"/>
      <c r="B32" s="62">
        <v>400000</v>
      </c>
      <c r="C32" s="55">
        <f t="shared" si="0"/>
        <v>0</v>
      </c>
      <c r="D32" s="78" t="s">
        <v>39</v>
      </c>
      <c r="E32" s="79">
        <f t="shared" si="37"/>
        <v>0</v>
      </c>
      <c r="F32" s="87">
        <v>0</v>
      </c>
      <c r="G32" s="87"/>
      <c r="H32" s="100"/>
      <c r="I32" s="101">
        <v>0</v>
      </c>
      <c r="J32" s="228">
        <f t="shared" si="38"/>
        <v>0</v>
      </c>
      <c r="K32" s="226">
        <f t="shared" si="39"/>
        <v>0</v>
      </c>
      <c r="L32" s="24"/>
      <c r="M32" s="84"/>
      <c r="N32" s="66"/>
      <c r="O32" s="66"/>
      <c r="P32" s="96"/>
      <c r="Q32" s="235"/>
      <c r="R32" s="235"/>
      <c r="S32" s="66"/>
      <c r="T32" s="70"/>
      <c r="U32" s="41"/>
      <c r="V32" s="114"/>
      <c r="W32" s="104"/>
      <c r="X32" s="252"/>
      <c r="Y32" s="104"/>
      <c r="Z32" s="252"/>
      <c r="AA32" s="104"/>
      <c r="AB32" s="252"/>
      <c r="AC32" s="104"/>
      <c r="AD32" s="252"/>
      <c r="AE32" s="104"/>
      <c r="AF32" s="117"/>
      <c r="AG32" s="24"/>
      <c r="AH32" s="60" t="s">
        <v>39</v>
      </c>
      <c r="AI32" s="21">
        <v>2840</v>
      </c>
      <c r="AJ32" s="6">
        <f t="shared" si="1"/>
        <v>0</v>
      </c>
      <c r="AK32" s="10">
        <v>65.8</v>
      </c>
      <c r="AL32" s="7">
        <f t="shared" si="2"/>
        <v>0</v>
      </c>
      <c r="AM32" s="10">
        <v>0</v>
      </c>
      <c r="AN32" s="13">
        <f t="shared" si="3"/>
        <v>0</v>
      </c>
      <c r="AO32" s="10">
        <v>0</v>
      </c>
      <c r="AP32" s="14">
        <f t="shared" si="4"/>
        <v>0</v>
      </c>
      <c r="AQ32" s="10">
        <v>0</v>
      </c>
      <c r="AR32" s="14">
        <f t="shared" si="5"/>
        <v>0</v>
      </c>
      <c r="AS32" s="10">
        <v>0</v>
      </c>
      <c r="AT32" s="14">
        <f t="shared" si="6"/>
        <v>0</v>
      </c>
      <c r="AU32" s="10">
        <v>0.5</v>
      </c>
      <c r="AV32" s="14">
        <f t="shared" si="7"/>
        <v>0</v>
      </c>
      <c r="AW32" s="10">
        <v>0</v>
      </c>
      <c r="AX32" s="17">
        <f t="shared" si="8"/>
        <v>0</v>
      </c>
      <c r="AY32" s="10">
        <v>0</v>
      </c>
      <c r="AZ32" s="17">
        <f t="shared" si="9"/>
        <v>0</v>
      </c>
      <c r="BA32" s="10">
        <v>0</v>
      </c>
      <c r="BB32" s="17">
        <f t="shared" si="10"/>
        <v>0</v>
      </c>
      <c r="BC32" s="10">
        <v>0</v>
      </c>
      <c r="BD32" s="17">
        <f t="shared" si="11"/>
        <v>0</v>
      </c>
      <c r="BE32" s="10">
        <v>0</v>
      </c>
      <c r="BF32" s="17">
        <f t="shared" si="12"/>
        <v>0</v>
      </c>
      <c r="BG32" s="10">
        <v>0</v>
      </c>
      <c r="BH32" s="17">
        <f t="shared" si="13"/>
        <v>0</v>
      </c>
      <c r="BI32" s="10">
        <v>90</v>
      </c>
      <c r="BJ32" s="17">
        <f t="shared" si="14"/>
        <v>0</v>
      </c>
      <c r="BK32" s="10">
        <v>0</v>
      </c>
      <c r="BL32" s="17">
        <f t="shared" si="15"/>
        <v>0</v>
      </c>
      <c r="BM32" s="10">
        <v>0</v>
      </c>
      <c r="BN32" s="17">
        <f t="shared" si="16"/>
        <v>0</v>
      </c>
      <c r="BO32" s="10">
        <v>0</v>
      </c>
      <c r="BP32" s="17">
        <f t="shared" si="17"/>
        <v>0</v>
      </c>
      <c r="BQ32" s="10">
        <v>0</v>
      </c>
      <c r="BR32" s="17">
        <f t="shared" si="18"/>
        <v>0</v>
      </c>
      <c r="BS32" s="10">
        <v>0</v>
      </c>
      <c r="BT32" s="17">
        <f t="shared" si="19"/>
        <v>0</v>
      </c>
      <c r="BU32" s="12">
        <v>0</v>
      </c>
      <c r="BV32" s="18">
        <f t="shared" si="20"/>
        <v>0</v>
      </c>
      <c r="BW32" s="10">
        <v>0</v>
      </c>
      <c r="BX32" s="17">
        <f t="shared" si="21"/>
        <v>0</v>
      </c>
      <c r="BY32" s="10">
        <v>0</v>
      </c>
      <c r="BZ32" s="17">
        <f t="shared" si="22"/>
        <v>0</v>
      </c>
      <c r="CA32" s="10">
        <v>0</v>
      </c>
      <c r="CB32" s="17">
        <f t="shared" si="23"/>
        <v>0</v>
      </c>
      <c r="CC32" s="10">
        <v>0</v>
      </c>
      <c r="CD32" s="14">
        <f t="shared" si="24"/>
        <v>0</v>
      </c>
      <c r="CE32" s="21">
        <v>0</v>
      </c>
      <c r="CF32" s="14">
        <f t="shared" si="26"/>
        <v>0</v>
      </c>
      <c r="CG32" s="10">
        <v>0</v>
      </c>
      <c r="CH32" s="17">
        <f t="shared" si="27"/>
        <v>0</v>
      </c>
      <c r="CI32" s="10">
        <v>0</v>
      </c>
      <c r="CJ32" s="14">
        <f t="shared" si="28"/>
        <v>0</v>
      </c>
      <c r="CK32" s="10">
        <v>0</v>
      </c>
      <c r="CL32" s="14">
        <f t="shared" si="29"/>
        <v>0</v>
      </c>
      <c r="CM32" s="10">
        <v>0</v>
      </c>
      <c r="CN32" s="14">
        <f t="shared" si="30"/>
        <v>0</v>
      </c>
      <c r="CO32" s="10">
        <v>0</v>
      </c>
      <c r="CP32" s="14">
        <f t="shared" si="31"/>
        <v>0</v>
      </c>
      <c r="CQ32" s="10">
        <v>0</v>
      </c>
      <c r="CR32" s="14">
        <f t="shared" si="32"/>
        <v>0</v>
      </c>
      <c r="CS32" s="10">
        <v>0</v>
      </c>
      <c r="CT32" s="14">
        <f t="shared" si="33"/>
        <v>0</v>
      </c>
      <c r="CU32" s="10">
        <v>0</v>
      </c>
      <c r="CV32" s="14">
        <f t="shared" si="35"/>
        <v>0</v>
      </c>
      <c r="CW32" s="11">
        <v>98</v>
      </c>
      <c r="CX32" s="20">
        <f t="shared" si="36"/>
        <v>0</v>
      </c>
      <c r="CY32" s="34"/>
      <c r="CZ32" s="34"/>
      <c r="DA32" s="34"/>
      <c r="DB32" s="34"/>
      <c r="DC32" s="140"/>
      <c r="DD32" s="140"/>
      <c r="DE32" s="140"/>
      <c r="DF32" s="140"/>
      <c r="DG32" s="140"/>
      <c r="DH32" s="140"/>
      <c r="DI32" s="140"/>
      <c r="DJ32" s="140"/>
      <c r="DK32" s="140"/>
      <c r="DL32" s="140"/>
      <c r="DM32" s="140"/>
      <c r="DN32" s="140"/>
      <c r="DO32" s="140"/>
      <c r="DP32" s="140"/>
      <c r="DQ32" s="140"/>
      <c r="DR32" s="140"/>
      <c r="DS32" s="140"/>
      <c r="DT32" s="140"/>
      <c r="DU32" s="140"/>
      <c r="DV32" s="140"/>
      <c r="DW32" s="140"/>
      <c r="DX32" s="140"/>
      <c r="DY32" s="140"/>
      <c r="DZ32" s="140"/>
      <c r="EA32" s="140"/>
      <c r="EB32" s="140"/>
      <c r="EC32" s="140"/>
      <c r="ED32" s="140"/>
      <c r="EE32" s="140"/>
      <c r="EF32" s="140"/>
      <c r="EG32" s="140"/>
      <c r="EH32" s="140"/>
      <c r="EI32" s="140"/>
      <c r="EJ32" s="140"/>
      <c r="EK32" s="140"/>
      <c r="EL32" s="140"/>
      <c r="EM32" s="140"/>
      <c r="EN32" s="140"/>
      <c r="EO32" s="140"/>
      <c r="EP32" s="140"/>
      <c r="EQ32" s="140"/>
      <c r="ER32" s="140"/>
      <c r="ES32" s="140"/>
      <c r="ET32" s="140"/>
      <c r="EU32" s="140"/>
      <c r="EV32" s="140"/>
      <c r="EW32" s="140"/>
      <c r="EX32" s="140"/>
    </row>
    <row r="33" spans="1:154" s="34" customFormat="1" x14ac:dyDescent="0.3">
      <c r="B33" s="61">
        <v>300000</v>
      </c>
      <c r="C33" s="56">
        <f t="shared" si="0"/>
        <v>0</v>
      </c>
      <c r="D33" s="76" t="s">
        <v>33</v>
      </c>
      <c r="E33" s="77">
        <f t="shared" si="37"/>
        <v>0</v>
      </c>
      <c r="F33" s="86">
        <v>0</v>
      </c>
      <c r="G33" s="86"/>
      <c r="H33" s="98"/>
      <c r="I33" s="99"/>
      <c r="J33" s="228">
        <f t="shared" si="38"/>
        <v>0</v>
      </c>
      <c r="K33" s="226">
        <f t="shared" si="39"/>
        <v>100</v>
      </c>
      <c r="L33" s="24"/>
      <c r="M33" s="83"/>
      <c r="N33" s="65"/>
      <c r="O33" s="65"/>
      <c r="P33" s="95"/>
      <c r="Q33" s="233"/>
      <c r="R33" s="233"/>
      <c r="S33" s="65"/>
      <c r="T33" s="71"/>
      <c r="U33" s="41"/>
      <c r="V33" s="114"/>
      <c r="W33" s="105"/>
      <c r="X33" s="252"/>
      <c r="Y33" s="105"/>
      <c r="Z33" s="252"/>
      <c r="AA33" s="105"/>
      <c r="AB33" s="252"/>
      <c r="AC33" s="105"/>
      <c r="AD33" s="252"/>
      <c r="AE33" s="105"/>
      <c r="AF33" s="117"/>
      <c r="AG33" s="24"/>
      <c r="AH33" s="59" t="s">
        <v>33</v>
      </c>
      <c r="AI33" s="31">
        <v>2940</v>
      </c>
      <c r="AJ33" s="25">
        <f t="shared" si="1"/>
        <v>0</v>
      </c>
      <c r="AK33" s="26">
        <v>201</v>
      </c>
      <c r="AL33" s="27">
        <f t="shared" si="2"/>
        <v>0</v>
      </c>
      <c r="AM33" s="26">
        <v>0</v>
      </c>
      <c r="AN33" s="28">
        <f t="shared" si="3"/>
        <v>0</v>
      </c>
      <c r="AO33" s="26">
        <v>0</v>
      </c>
      <c r="AP33" s="29">
        <f t="shared" si="4"/>
        <v>0</v>
      </c>
      <c r="AQ33" s="26">
        <v>0</v>
      </c>
      <c r="AR33" s="29">
        <f t="shared" si="5"/>
        <v>0</v>
      </c>
      <c r="AS33" s="26">
        <v>0</v>
      </c>
      <c r="AT33" s="29">
        <f t="shared" si="6"/>
        <v>0</v>
      </c>
      <c r="AU33" s="26">
        <v>0.5</v>
      </c>
      <c r="AV33" s="29">
        <f t="shared" si="7"/>
        <v>0</v>
      </c>
      <c r="AW33" s="26">
        <v>0</v>
      </c>
      <c r="AX33" s="30">
        <f t="shared" si="8"/>
        <v>0</v>
      </c>
      <c r="AY33" s="26">
        <v>0</v>
      </c>
      <c r="AZ33" s="30">
        <f t="shared" si="9"/>
        <v>0</v>
      </c>
      <c r="BA33" s="26">
        <v>0</v>
      </c>
      <c r="BB33" s="30">
        <f t="shared" si="10"/>
        <v>0</v>
      </c>
      <c r="BC33" s="26">
        <v>0</v>
      </c>
      <c r="BD33" s="30">
        <f t="shared" si="11"/>
        <v>0</v>
      </c>
      <c r="BE33" s="26">
        <v>0</v>
      </c>
      <c r="BF33" s="30">
        <f t="shared" si="12"/>
        <v>0</v>
      </c>
      <c r="BG33" s="26">
        <v>99</v>
      </c>
      <c r="BH33" s="30">
        <f t="shared" si="13"/>
        <v>0</v>
      </c>
      <c r="BI33" s="26">
        <v>0</v>
      </c>
      <c r="BJ33" s="30">
        <f t="shared" si="14"/>
        <v>0</v>
      </c>
      <c r="BK33" s="26">
        <v>0</v>
      </c>
      <c r="BL33" s="30">
        <f t="shared" si="15"/>
        <v>0</v>
      </c>
      <c r="BM33" s="26">
        <v>0</v>
      </c>
      <c r="BN33" s="30">
        <f t="shared" si="16"/>
        <v>0</v>
      </c>
      <c r="BO33" s="26">
        <v>0</v>
      </c>
      <c r="BP33" s="30">
        <f t="shared" si="17"/>
        <v>0</v>
      </c>
      <c r="BQ33" s="26">
        <v>0</v>
      </c>
      <c r="BR33" s="30">
        <f t="shared" si="18"/>
        <v>0</v>
      </c>
      <c r="BS33" s="26">
        <v>0</v>
      </c>
      <c r="BT33" s="30">
        <f t="shared" si="19"/>
        <v>0</v>
      </c>
      <c r="BU33" s="26">
        <v>0</v>
      </c>
      <c r="BV33" s="30">
        <f t="shared" si="20"/>
        <v>0</v>
      </c>
      <c r="BW33" s="26">
        <v>0</v>
      </c>
      <c r="BX33" s="30">
        <f t="shared" si="21"/>
        <v>0</v>
      </c>
      <c r="BY33" s="26">
        <v>0</v>
      </c>
      <c r="BZ33" s="30">
        <f t="shared" si="22"/>
        <v>0</v>
      </c>
      <c r="CA33" s="26">
        <v>0</v>
      </c>
      <c r="CB33" s="30">
        <f t="shared" si="23"/>
        <v>0</v>
      </c>
      <c r="CC33" s="26">
        <v>0</v>
      </c>
      <c r="CD33" s="29">
        <f t="shared" si="24"/>
        <v>0</v>
      </c>
      <c r="CE33" s="31">
        <v>0</v>
      </c>
      <c r="CF33" s="29">
        <f t="shared" si="26"/>
        <v>0</v>
      </c>
      <c r="CG33" s="26">
        <v>0</v>
      </c>
      <c r="CH33" s="30">
        <f t="shared" si="27"/>
        <v>0</v>
      </c>
      <c r="CI33" s="26">
        <v>0</v>
      </c>
      <c r="CJ33" s="29">
        <f t="shared" si="28"/>
        <v>0</v>
      </c>
      <c r="CK33" s="26">
        <v>0</v>
      </c>
      <c r="CL33" s="29">
        <f t="shared" si="29"/>
        <v>0</v>
      </c>
      <c r="CM33" s="26">
        <v>0</v>
      </c>
      <c r="CN33" s="29">
        <f t="shared" si="30"/>
        <v>0</v>
      </c>
      <c r="CO33" s="26">
        <v>0</v>
      </c>
      <c r="CP33" s="29">
        <f t="shared" si="31"/>
        <v>0</v>
      </c>
      <c r="CQ33" s="26">
        <v>0</v>
      </c>
      <c r="CR33" s="29">
        <f t="shared" si="32"/>
        <v>0</v>
      </c>
      <c r="CS33" s="26">
        <v>0</v>
      </c>
      <c r="CT33" s="29">
        <f t="shared" si="33"/>
        <v>0</v>
      </c>
      <c r="CU33" s="26">
        <v>0</v>
      </c>
      <c r="CV33" s="29">
        <f t="shared" si="35"/>
        <v>0</v>
      </c>
      <c r="CW33" s="32">
        <v>98</v>
      </c>
      <c r="CX33" s="33">
        <f t="shared" si="36"/>
        <v>0</v>
      </c>
      <c r="DC33" s="140"/>
      <c r="DD33" s="140"/>
      <c r="DE33" s="140"/>
      <c r="DF33" s="140"/>
      <c r="DG33" s="140"/>
      <c r="DH33" s="140"/>
      <c r="DI33" s="140"/>
      <c r="DJ33" s="140"/>
      <c r="DK33" s="140"/>
      <c r="DL33" s="140"/>
      <c r="DM33" s="140"/>
      <c r="DN33" s="140"/>
      <c r="DO33" s="140"/>
      <c r="DP33" s="140"/>
      <c r="DQ33" s="140"/>
      <c r="DR33" s="140"/>
      <c r="DS33" s="140"/>
      <c r="DT33" s="140"/>
      <c r="DU33" s="140"/>
      <c r="DV33" s="140"/>
      <c r="DW33" s="140"/>
      <c r="DX33" s="140"/>
      <c r="DY33" s="140"/>
      <c r="DZ33" s="140"/>
      <c r="EA33" s="140"/>
      <c r="EB33" s="140"/>
      <c r="EC33" s="140"/>
      <c r="ED33" s="140"/>
      <c r="EE33" s="140"/>
      <c r="EF33" s="140"/>
      <c r="EG33" s="140"/>
      <c r="EH33" s="140"/>
      <c r="EI33" s="140"/>
      <c r="EJ33" s="140"/>
      <c r="EK33" s="140"/>
      <c r="EL33" s="140"/>
      <c r="EM33" s="140"/>
      <c r="EN33" s="140"/>
      <c r="EO33" s="140"/>
      <c r="EP33" s="140"/>
      <c r="EQ33" s="140"/>
      <c r="ER33" s="140"/>
      <c r="ES33" s="140"/>
      <c r="ET33" s="140"/>
      <c r="EU33" s="140"/>
      <c r="EV33" s="140"/>
      <c r="EW33" s="140"/>
      <c r="EX33" s="140"/>
    </row>
    <row r="34" spans="1:154" s="1" customFormat="1" x14ac:dyDescent="0.3">
      <c r="A34" s="34"/>
      <c r="B34" s="62">
        <v>60000</v>
      </c>
      <c r="C34" s="55">
        <f t="shared" si="0"/>
        <v>0</v>
      </c>
      <c r="D34" s="78" t="s">
        <v>34</v>
      </c>
      <c r="E34" s="79">
        <f t="shared" si="37"/>
        <v>0</v>
      </c>
      <c r="F34" s="87">
        <v>0</v>
      </c>
      <c r="G34" s="87"/>
      <c r="H34" s="100"/>
      <c r="I34" s="101"/>
      <c r="J34" s="228">
        <f t="shared" si="38"/>
        <v>0</v>
      </c>
      <c r="K34" s="226">
        <f t="shared" si="39"/>
        <v>100</v>
      </c>
      <c r="L34" s="24"/>
      <c r="M34" s="84"/>
      <c r="N34" s="66"/>
      <c r="O34" s="66"/>
      <c r="P34" s="96"/>
      <c r="Q34" s="235"/>
      <c r="R34" s="235"/>
      <c r="S34" s="66"/>
      <c r="T34" s="70"/>
      <c r="U34" s="41"/>
      <c r="V34" s="114"/>
      <c r="W34" s="104"/>
      <c r="X34" s="252"/>
      <c r="Y34" s="104"/>
      <c r="Z34" s="252"/>
      <c r="AA34" s="104"/>
      <c r="AB34" s="252"/>
      <c r="AC34" s="104"/>
      <c r="AD34" s="252"/>
      <c r="AE34" s="104"/>
      <c r="AF34" s="117"/>
      <c r="AG34" s="24"/>
      <c r="AH34" s="60" t="s">
        <v>34</v>
      </c>
      <c r="AI34" s="21">
        <v>0</v>
      </c>
      <c r="AJ34" s="6">
        <f t="shared" si="1"/>
        <v>0</v>
      </c>
      <c r="AK34" s="10">
        <v>0</v>
      </c>
      <c r="AL34" s="7">
        <f t="shared" si="2"/>
        <v>0</v>
      </c>
      <c r="AM34" s="10">
        <v>0</v>
      </c>
      <c r="AN34" s="13">
        <f t="shared" si="3"/>
        <v>0</v>
      </c>
      <c r="AO34" s="10">
        <v>0</v>
      </c>
      <c r="AP34" s="14">
        <f t="shared" si="4"/>
        <v>0</v>
      </c>
      <c r="AQ34" s="10">
        <v>0</v>
      </c>
      <c r="AR34" s="14">
        <f t="shared" si="5"/>
        <v>0</v>
      </c>
      <c r="AS34" s="10">
        <v>0</v>
      </c>
      <c r="AT34" s="14">
        <f t="shared" si="6"/>
        <v>0</v>
      </c>
      <c r="AU34" s="10">
        <v>0.5</v>
      </c>
      <c r="AV34" s="14">
        <f t="shared" si="7"/>
        <v>0</v>
      </c>
      <c r="AW34" s="10">
        <v>0</v>
      </c>
      <c r="AX34" s="17">
        <f t="shared" si="8"/>
        <v>0</v>
      </c>
      <c r="AY34" s="10">
        <v>0</v>
      </c>
      <c r="AZ34" s="17">
        <f t="shared" si="9"/>
        <v>0</v>
      </c>
      <c r="BA34" s="10">
        <v>0</v>
      </c>
      <c r="BB34" s="17">
        <f t="shared" si="10"/>
        <v>0</v>
      </c>
      <c r="BC34" s="10">
        <v>0</v>
      </c>
      <c r="BD34" s="17">
        <f t="shared" si="11"/>
        <v>0</v>
      </c>
      <c r="BE34" s="10">
        <v>0</v>
      </c>
      <c r="BF34" s="17">
        <f t="shared" si="12"/>
        <v>0</v>
      </c>
      <c r="BG34" s="10">
        <v>0</v>
      </c>
      <c r="BH34" s="17">
        <f t="shared" si="13"/>
        <v>0</v>
      </c>
      <c r="BI34" s="10">
        <v>0</v>
      </c>
      <c r="BJ34" s="17">
        <f t="shared" si="14"/>
        <v>0</v>
      </c>
      <c r="BK34" s="10">
        <v>0</v>
      </c>
      <c r="BL34" s="17">
        <f t="shared" si="15"/>
        <v>0</v>
      </c>
      <c r="BM34" s="10">
        <v>0</v>
      </c>
      <c r="BN34" s="17">
        <f t="shared" si="16"/>
        <v>0</v>
      </c>
      <c r="BO34" s="10">
        <v>0</v>
      </c>
      <c r="BP34" s="17">
        <f t="shared" si="17"/>
        <v>0</v>
      </c>
      <c r="BQ34" s="10">
        <v>0</v>
      </c>
      <c r="BR34" s="17">
        <f t="shared" si="18"/>
        <v>0</v>
      </c>
      <c r="BS34" s="10">
        <v>0</v>
      </c>
      <c r="BT34" s="17">
        <f t="shared" si="19"/>
        <v>0</v>
      </c>
      <c r="BU34" s="12">
        <v>0</v>
      </c>
      <c r="BV34" s="18">
        <f t="shared" si="20"/>
        <v>0</v>
      </c>
      <c r="BW34" s="10">
        <v>0</v>
      </c>
      <c r="BX34" s="17">
        <f t="shared" si="21"/>
        <v>0</v>
      </c>
      <c r="BY34" s="10">
        <v>0</v>
      </c>
      <c r="BZ34" s="17">
        <f t="shared" si="22"/>
        <v>0</v>
      </c>
      <c r="CA34" s="10">
        <v>15.2</v>
      </c>
      <c r="CB34" s="17">
        <f t="shared" si="23"/>
        <v>0</v>
      </c>
      <c r="CC34" s="10">
        <v>0</v>
      </c>
      <c r="CD34" s="14">
        <f t="shared" si="24"/>
        <v>0</v>
      </c>
      <c r="CE34" s="21">
        <f>(BW34*435)+(BY34*256)-(CA34*282)</f>
        <v>-4286.3999999999996</v>
      </c>
      <c r="CF34" s="14">
        <f t="shared" si="26"/>
        <v>0</v>
      </c>
      <c r="CG34" s="10">
        <v>500</v>
      </c>
      <c r="CH34" s="17">
        <f t="shared" si="27"/>
        <v>0</v>
      </c>
      <c r="CI34" s="10">
        <v>0</v>
      </c>
      <c r="CJ34" s="14">
        <f t="shared" si="28"/>
        <v>0</v>
      </c>
      <c r="CK34" s="10">
        <v>0</v>
      </c>
      <c r="CL34" s="14">
        <f t="shared" si="29"/>
        <v>0</v>
      </c>
      <c r="CM34" s="10">
        <v>0</v>
      </c>
      <c r="CN34" s="14">
        <f t="shared" si="30"/>
        <v>0</v>
      </c>
      <c r="CO34" s="10">
        <v>0</v>
      </c>
      <c r="CP34" s="14">
        <f t="shared" si="31"/>
        <v>0</v>
      </c>
      <c r="CQ34" s="10">
        <v>0</v>
      </c>
      <c r="CR34" s="14">
        <f t="shared" si="32"/>
        <v>0</v>
      </c>
      <c r="CS34" s="10">
        <v>0</v>
      </c>
      <c r="CT34" s="14">
        <f t="shared" si="33"/>
        <v>0</v>
      </c>
      <c r="CU34" s="10">
        <v>0</v>
      </c>
      <c r="CV34" s="14">
        <f t="shared" si="35"/>
        <v>0</v>
      </c>
      <c r="CW34" s="11">
        <v>97</v>
      </c>
      <c r="CX34" s="20">
        <f t="shared" si="36"/>
        <v>0</v>
      </c>
      <c r="CY34" s="34"/>
      <c r="CZ34" s="34"/>
      <c r="DA34" s="34"/>
      <c r="DB34" s="34"/>
      <c r="DC34" s="140"/>
      <c r="DD34" s="140"/>
      <c r="DE34" s="140"/>
      <c r="DF34" s="140"/>
      <c r="DG34" s="140"/>
      <c r="DH34" s="140"/>
      <c r="DI34" s="140"/>
      <c r="DJ34" s="140"/>
      <c r="DK34" s="140"/>
      <c r="DL34" s="140"/>
      <c r="DM34" s="140"/>
      <c r="DN34" s="140"/>
      <c r="DO34" s="140"/>
      <c r="DP34" s="140"/>
      <c r="DQ34" s="140"/>
      <c r="DR34" s="140"/>
      <c r="DS34" s="140"/>
      <c r="DT34" s="140"/>
      <c r="DU34" s="140"/>
      <c r="DV34" s="140"/>
      <c r="DW34" s="140"/>
      <c r="DX34" s="140"/>
      <c r="DY34" s="140"/>
      <c r="DZ34" s="140"/>
      <c r="EA34" s="140"/>
      <c r="EB34" s="140"/>
      <c r="EC34" s="140"/>
      <c r="ED34" s="140"/>
      <c r="EE34" s="140"/>
      <c r="EF34" s="140"/>
      <c r="EG34" s="140"/>
      <c r="EH34" s="140"/>
      <c r="EI34" s="140"/>
      <c r="EJ34" s="140"/>
      <c r="EK34" s="140"/>
      <c r="EL34" s="140"/>
      <c r="EM34" s="140"/>
      <c r="EN34" s="140"/>
      <c r="EO34" s="140"/>
      <c r="EP34" s="140"/>
      <c r="EQ34" s="140"/>
      <c r="ER34" s="140"/>
      <c r="ES34" s="140"/>
      <c r="ET34" s="140"/>
      <c r="EU34" s="140"/>
      <c r="EV34" s="140"/>
      <c r="EW34" s="140"/>
      <c r="EX34" s="140"/>
    </row>
    <row r="35" spans="1:154" s="34" customFormat="1" x14ac:dyDescent="0.3">
      <c r="B35" s="61">
        <v>55000</v>
      </c>
      <c r="C35" s="56">
        <f t="shared" si="0"/>
        <v>0</v>
      </c>
      <c r="D35" s="76" t="s">
        <v>35</v>
      </c>
      <c r="E35" s="77">
        <f t="shared" si="37"/>
        <v>0</v>
      </c>
      <c r="F35" s="86">
        <v>0</v>
      </c>
      <c r="G35" s="86"/>
      <c r="H35" s="98"/>
      <c r="I35" s="99"/>
      <c r="J35" s="228">
        <f t="shared" si="38"/>
        <v>0</v>
      </c>
      <c r="K35" s="226">
        <f t="shared" si="39"/>
        <v>100</v>
      </c>
      <c r="L35" s="24"/>
      <c r="M35" s="83"/>
      <c r="N35" s="65"/>
      <c r="O35" s="65"/>
      <c r="P35" s="95"/>
      <c r="Q35" s="233"/>
      <c r="R35" s="233"/>
      <c r="S35" s="65"/>
      <c r="T35" s="71"/>
      <c r="U35" s="41"/>
      <c r="V35" s="114"/>
      <c r="W35" s="105"/>
      <c r="X35" s="252"/>
      <c r="Y35" s="105"/>
      <c r="Z35" s="252"/>
      <c r="AA35" s="105"/>
      <c r="AB35" s="252"/>
      <c r="AC35" s="105"/>
      <c r="AD35" s="252"/>
      <c r="AE35" s="105"/>
      <c r="AF35" s="117"/>
      <c r="AG35" s="24"/>
      <c r="AH35" s="59" t="s">
        <v>35</v>
      </c>
      <c r="AI35" s="31">
        <v>0</v>
      </c>
      <c r="AJ35" s="25">
        <f t="shared" si="1"/>
        <v>0</v>
      </c>
      <c r="AK35" s="26">
        <v>0</v>
      </c>
      <c r="AL35" s="27">
        <f t="shared" si="2"/>
        <v>0</v>
      </c>
      <c r="AM35" s="26">
        <v>0</v>
      </c>
      <c r="AN35" s="28">
        <f t="shared" si="3"/>
        <v>0</v>
      </c>
      <c r="AO35" s="26">
        <v>0</v>
      </c>
      <c r="AP35" s="29">
        <f t="shared" si="4"/>
        <v>0</v>
      </c>
      <c r="AQ35" s="26">
        <v>0</v>
      </c>
      <c r="AR35" s="29">
        <f t="shared" si="5"/>
        <v>0</v>
      </c>
      <c r="AS35" s="26">
        <v>0</v>
      </c>
      <c r="AT35" s="29">
        <f t="shared" si="6"/>
        <v>0</v>
      </c>
      <c r="AU35" s="26">
        <v>99</v>
      </c>
      <c r="AV35" s="29">
        <f t="shared" si="7"/>
        <v>0</v>
      </c>
      <c r="AW35" s="26">
        <v>0</v>
      </c>
      <c r="AX35" s="30">
        <f t="shared" si="8"/>
        <v>0</v>
      </c>
      <c r="AY35" s="26">
        <v>0</v>
      </c>
      <c r="AZ35" s="30">
        <f t="shared" si="9"/>
        <v>0</v>
      </c>
      <c r="BA35" s="26">
        <v>0</v>
      </c>
      <c r="BB35" s="30">
        <f t="shared" si="10"/>
        <v>0</v>
      </c>
      <c r="BC35" s="26">
        <v>0</v>
      </c>
      <c r="BD35" s="30">
        <f t="shared" si="11"/>
        <v>0</v>
      </c>
      <c r="BE35" s="26">
        <v>0</v>
      </c>
      <c r="BF35" s="30">
        <f t="shared" si="12"/>
        <v>0</v>
      </c>
      <c r="BG35" s="26">
        <v>0</v>
      </c>
      <c r="BH35" s="30">
        <f t="shared" si="13"/>
        <v>0</v>
      </c>
      <c r="BI35" s="26">
        <v>0</v>
      </c>
      <c r="BJ35" s="30">
        <f t="shared" si="14"/>
        <v>0</v>
      </c>
      <c r="BK35" s="26">
        <v>0</v>
      </c>
      <c r="BL35" s="30">
        <f t="shared" si="15"/>
        <v>0</v>
      </c>
      <c r="BM35" s="26">
        <v>0</v>
      </c>
      <c r="BN35" s="30">
        <f t="shared" si="16"/>
        <v>0</v>
      </c>
      <c r="BO35" s="26">
        <v>22</v>
      </c>
      <c r="BP35" s="30">
        <f t="shared" si="17"/>
        <v>0</v>
      </c>
      <c r="BQ35" s="26">
        <v>19</v>
      </c>
      <c r="BR35" s="30">
        <f t="shared" si="18"/>
        <v>0</v>
      </c>
      <c r="BS35" s="26">
        <f>BQ35*0.85</f>
        <v>16.149999999999999</v>
      </c>
      <c r="BT35" s="30">
        <f t="shared" si="19"/>
        <v>0</v>
      </c>
      <c r="BU35" s="26">
        <v>0.91</v>
      </c>
      <c r="BV35" s="30">
        <f t="shared" si="20"/>
        <v>0</v>
      </c>
      <c r="BW35" s="26">
        <v>0</v>
      </c>
      <c r="BX35" s="30">
        <f t="shared" si="21"/>
        <v>0</v>
      </c>
      <c r="BY35" s="26">
        <v>0</v>
      </c>
      <c r="BZ35" s="30">
        <f t="shared" si="22"/>
        <v>0</v>
      </c>
      <c r="CA35" s="26">
        <v>0</v>
      </c>
      <c r="CB35" s="30">
        <f t="shared" si="23"/>
        <v>0</v>
      </c>
      <c r="CC35" s="26">
        <v>0</v>
      </c>
      <c r="CD35" s="29">
        <f t="shared" si="24"/>
        <v>0</v>
      </c>
      <c r="CE35" s="31">
        <v>0</v>
      </c>
      <c r="CF35" s="29">
        <f t="shared" si="26"/>
        <v>0</v>
      </c>
      <c r="CG35" s="26">
        <v>0</v>
      </c>
      <c r="CH35" s="30">
        <f t="shared" si="27"/>
        <v>0</v>
      </c>
      <c r="CI35" s="26">
        <v>0</v>
      </c>
      <c r="CJ35" s="29">
        <f t="shared" si="28"/>
        <v>0</v>
      </c>
      <c r="CK35" s="26">
        <v>0</v>
      </c>
      <c r="CL35" s="29">
        <f t="shared" si="29"/>
        <v>0</v>
      </c>
      <c r="CM35" s="26">
        <v>0</v>
      </c>
      <c r="CN35" s="29">
        <f t="shared" si="30"/>
        <v>0</v>
      </c>
      <c r="CO35" s="26">
        <v>0</v>
      </c>
      <c r="CP35" s="29">
        <f t="shared" si="31"/>
        <v>0</v>
      </c>
      <c r="CQ35" s="26">
        <v>0</v>
      </c>
      <c r="CR35" s="29">
        <f t="shared" si="32"/>
        <v>0</v>
      </c>
      <c r="CS35" s="26">
        <v>0</v>
      </c>
      <c r="CT35" s="29">
        <f t="shared" si="33"/>
        <v>0</v>
      </c>
      <c r="CU35" s="26">
        <v>0</v>
      </c>
      <c r="CV35" s="29">
        <f t="shared" si="35"/>
        <v>0</v>
      </c>
      <c r="CW35" s="32">
        <v>98</v>
      </c>
      <c r="CX35" s="33">
        <f t="shared" si="36"/>
        <v>0</v>
      </c>
      <c r="DC35" s="140"/>
      <c r="DD35" s="140"/>
      <c r="DE35" s="140"/>
      <c r="DF35" s="140"/>
      <c r="DG35" s="140"/>
      <c r="DH35" s="140"/>
      <c r="DI35" s="140"/>
      <c r="DJ35" s="140"/>
      <c r="DK35" s="140"/>
      <c r="DL35" s="140"/>
      <c r="DM35" s="140"/>
      <c r="DN35" s="140"/>
      <c r="DO35" s="140"/>
      <c r="DP35" s="140"/>
      <c r="DQ35" s="140"/>
      <c r="DR35" s="140"/>
      <c r="DS35" s="140"/>
      <c r="DT35" s="140"/>
      <c r="DU35" s="140"/>
      <c r="DV35" s="140"/>
      <c r="DW35" s="140"/>
      <c r="DX35" s="140"/>
      <c r="DY35" s="140"/>
      <c r="DZ35" s="140"/>
      <c r="EA35" s="140"/>
      <c r="EB35" s="140"/>
      <c r="EC35" s="140"/>
      <c r="ED35" s="140"/>
      <c r="EE35" s="140"/>
      <c r="EF35" s="140"/>
      <c r="EG35" s="140"/>
      <c r="EH35" s="140"/>
      <c r="EI35" s="140"/>
      <c r="EJ35" s="140"/>
      <c r="EK35" s="140"/>
      <c r="EL35" s="140"/>
      <c r="EM35" s="140"/>
      <c r="EN35" s="140"/>
      <c r="EO35" s="140"/>
      <c r="EP35" s="140"/>
      <c r="EQ35" s="140"/>
      <c r="ER35" s="140"/>
      <c r="ES35" s="140"/>
      <c r="ET35" s="140"/>
      <c r="EU35" s="140"/>
      <c r="EV35" s="140"/>
      <c r="EW35" s="140"/>
      <c r="EX35" s="140"/>
    </row>
    <row r="36" spans="1:154" s="1" customFormat="1" x14ac:dyDescent="0.3">
      <c r="A36" s="34"/>
      <c r="B36" s="62">
        <v>45000</v>
      </c>
      <c r="C36" s="55">
        <f t="shared" si="0"/>
        <v>0</v>
      </c>
      <c r="D36" s="78" t="s">
        <v>36</v>
      </c>
      <c r="E36" s="79">
        <f t="shared" si="37"/>
        <v>0</v>
      </c>
      <c r="F36" s="87">
        <v>0</v>
      </c>
      <c r="G36" s="87"/>
      <c r="H36" s="100"/>
      <c r="I36" s="101"/>
      <c r="J36" s="228">
        <f t="shared" si="38"/>
        <v>0</v>
      </c>
      <c r="K36" s="226">
        <f t="shared" si="39"/>
        <v>100</v>
      </c>
      <c r="L36" s="24"/>
      <c r="M36" s="84"/>
      <c r="N36" s="66"/>
      <c r="O36" s="66"/>
      <c r="P36" s="96"/>
      <c r="Q36" s="235"/>
      <c r="R36" s="235"/>
      <c r="S36" s="66"/>
      <c r="T36" s="70"/>
      <c r="U36" s="41"/>
      <c r="V36" s="114"/>
      <c r="W36" s="104"/>
      <c r="X36" s="252"/>
      <c r="Y36" s="104"/>
      <c r="Z36" s="252"/>
      <c r="AA36" s="104"/>
      <c r="AB36" s="252"/>
      <c r="AC36" s="104"/>
      <c r="AD36" s="252"/>
      <c r="AE36" s="104"/>
      <c r="AF36" s="117"/>
      <c r="AG36" s="24"/>
      <c r="AH36" s="60" t="s">
        <v>36</v>
      </c>
      <c r="AI36" s="21">
        <v>0</v>
      </c>
      <c r="AJ36" s="6">
        <f t="shared" si="1"/>
        <v>0</v>
      </c>
      <c r="AK36" s="10">
        <v>0</v>
      </c>
      <c r="AL36" s="7">
        <f t="shared" si="2"/>
        <v>0</v>
      </c>
      <c r="AM36" s="10">
        <v>0</v>
      </c>
      <c r="AN36" s="13">
        <f t="shared" si="3"/>
        <v>0</v>
      </c>
      <c r="AO36" s="10">
        <v>0</v>
      </c>
      <c r="AP36" s="14">
        <f t="shared" si="4"/>
        <v>0</v>
      </c>
      <c r="AQ36" s="10">
        <v>0</v>
      </c>
      <c r="AR36" s="14">
        <f t="shared" si="5"/>
        <v>0</v>
      </c>
      <c r="AS36" s="10">
        <v>0</v>
      </c>
      <c r="AT36" s="14">
        <f t="shared" si="6"/>
        <v>0</v>
      </c>
      <c r="AU36" s="10">
        <v>99</v>
      </c>
      <c r="AV36" s="14">
        <f t="shared" si="7"/>
        <v>0</v>
      </c>
      <c r="AW36" s="10">
        <v>0</v>
      </c>
      <c r="AX36" s="17">
        <f t="shared" si="8"/>
        <v>0</v>
      </c>
      <c r="AY36" s="10">
        <v>0</v>
      </c>
      <c r="AZ36" s="17">
        <f t="shared" si="9"/>
        <v>0</v>
      </c>
      <c r="BA36" s="10">
        <v>0</v>
      </c>
      <c r="BB36" s="17">
        <f t="shared" si="10"/>
        <v>0</v>
      </c>
      <c r="BC36" s="10">
        <v>0</v>
      </c>
      <c r="BD36" s="17">
        <f t="shared" si="11"/>
        <v>0</v>
      </c>
      <c r="BE36" s="10">
        <v>0</v>
      </c>
      <c r="BF36" s="17">
        <f t="shared" si="12"/>
        <v>0</v>
      </c>
      <c r="BG36" s="10">
        <v>0</v>
      </c>
      <c r="BH36" s="17">
        <f t="shared" si="13"/>
        <v>0</v>
      </c>
      <c r="BI36" s="10">
        <v>0</v>
      </c>
      <c r="BJ36" s="17">
        <f t="shared" si="14"/>
        <v>0</v>
      </c>
      <c r="BK36" s="10">
        <v>0</v>
      </c>
      <c r="BL36" s="17">
        <f t="shared" si="15"/>
        <v>0</v>
      </c>
      <c r="BM36" s="10">
        <v>0</v>
      </c>
      <c r="BN36" s="17">
        <f t="shared" si="16"/>
        <v>0</v>
      </c>
      <c r="BO36" s="10">
        <v>17.5</v>
      </c>
      <c r="BP36" s="17">
        <f t="shared" si="17"/>
        <v>0</v>
      </c>
      <c r="BQ36" s="10">
        <v>22.5</v>
      </c>
      <c r="BR36" s="17">
        <f t="shared" si="18"/>
        <v>0</v>
      </c>
      <c r="BS36" s="10">
        <f>BQ36*0.95</f>
        <v>21.375</v>
      </c>
      <c r="BT36" s="17">
        <f t="shared" si="19"/>
        <v>0</v>
      </c>
      <c r="BU36" s="12">
        <v>0</v>
      </c>
      <c r="BV36" s="18">
        <f t="shared" si="20"/>
        <v>0</v>
      </c>
      <c r="BW36" s="10">
        <v>0</v>
      </c>
      <c r="BX36" s="17">
        <f t="shared" si="21"/>
        <v>0</v>
      </c>
      <c r="BY36" s="10">
        <v>0</v>
      </c>
      <c r="BZ36" s="17">
        <f t="shared" si="22"/>
        <v>0</v>
      </c>
      <c r="CA36" s="10">
        <v>0</v>
      </c>
      <c r="CB36" s="17">
        <f t="shared" si="23"/>
        <v>0</v>
      </c>
      <c r="CC36" s="10">
        <v>0</v>
      </c>
      <c r="CD36" s="14">
        <f t="shared" si="24"/>
        <v>0</v>
      </c>
      <c r="CE36" s="21">
        <v>0</v>
      </c>
      <c r="CF36" s="14">
        <f t="shared" si="26"/>
        <v>0</v>
      </c>
      <c r="CG36" s="10">
        <v>0</v>
      </c>
      <c r="CH36" s="17">
        <f t="shared" si="27"/>
        <v>0</v>
      </c>
      <c r="CI36" s="10">
        <v>0</v>
      </c>
      <c r="CJ36" s="14">
        <f t="shared" si="28"/>
        <v>0</v>
      </c>
      <c r="CK36" s="10">
        <v>0</v>
      </c>
      <c r="CL36" s="14">
        <f t="shared" si="29"/>
        <v>0</v>
      </c>
      <c r="CM36" s="10">
        <v>0</v>
      </c>
      <c r="CN36" s="14">
        <f t="shared" si="30"/>
        <v>0</v>
      </c>
      <c r="CO36" s="10">
        <v>0</v>
      </c>
      <c r="CP36" s="14">
        <f t="shared" si="31"/>
        <v>0</v>
      </c>
      <c r="CQ36" s="10">
        <v>0</v>
      </c>
      <c r="CR36" s="14">
        <f t="shared" si="32"/>
        <v>0</v>
      </c>
      <c r="CS36" s="10">
        <v>0</v>
      </c>
      <c r="CT36" s="14">
        <f t="shared" si="33"/>
        <v>0</v>
      </c>
      <c r="CU36" s="10">
        <v>0</v>
      </c>
      <c r="CV36" s="14">
        <f t="shared" si="35"/>
        <v>0</v>
      </c>
      <c r="CW36" s="11">
        <v>98</v>
      </c>
      <c r="CX36" s="20">
        <f t="shared" si="36"/>
        <v>0</v>
      </c>
      <c r="CY36" s="34"/>
      <c r="CZ36" s="34"/>
      <c r="DA36" s="34"/>
      <c r="DB36" s="34"/>
      <c r="DC36" s="140"/>
      <c r="DD36" s="140"/>
      <c r="DE36" s="140"/>
      <c r="DF36" s="140"/>
      <c r="DG36" s="140"/>
      <c r="DH36" s="140"/>
      <c r="DI36" s="140"/>
      <c r="DJ36" s="140"/>
      <c r="DK36" s="140"/>
      <c r="DL36" s="140"/>
      <c r="DM36" s="140"/>
      <c r="DN36" s="140"/>
      <c r="DO36" s="140"/>
      <c r="DP36" s="140"/>
      <c r="DQ36" s="140"/>
      <c r="DR36" s="140"/>
      <c r="DS36" s="140"/>
      <c r="DT36" s="140"/>
      <c r="DU36" s="140"/>
      <c r="DV36" s="140"/>
      <c r="DW36" s="140"/>
      <c r="DX36" s="140"/>
      <c r="DY36" s="140"/>
      <c r="DZ36" s="140"/>
      <c r="EA36" s="140"/>
      <c r="EB36" s="140"/>
      <c r="EC36" s="140"/>
      <c r="ED36" s="140"/>
      <c r="EE36" s="140"/>
      <c r="EF36" s="140"/>
      <c r="EG36" s="140"/>
      <c r="EH36" s="140"/>
      <c r="EI36" s="140"/>
      <c r="EJ36" s="140"/>
      <c r="EK36" s="140"/>
      <c r="EL36" s="140"/>
      <c r="EM36" s="140"/>
      <c r="EN36" s="140"/>
      <c r="EO36" s="140"/>
      <c r="EP36" s="140"/>
      <c r="EQ36" s="140"/>
      <c r="ER36" s="140"/>
      <c r="ES36" s="140"/>
      <c r="ET36" s="140"/>
      <c r="EU36" s="140"/>
      <c r="EV36" s="140"/>
      <c r="EW36" s="140"/>
      <c r="EX36" s="140"/>
    </row>
    <row r="37" spans="1:154" s="34" customFormat="1" x14ac:dyDescent="0.3">
      <c r="B37" s="61">
        <v>1000</v>
      </c>
      <c r="C37" s="56">
        <f t="shared" si="0"/>
        <v>0</v>
      </c>
      <c r="D37" s="76" t="s">
        <v>130</v>
      </c>
      <c r="E37" s="77">
        <f t="shared" si="37"/>
        <v>0</v>
      </c>
      <c r="F37" s="86">
        <v>0</v>
      </c>
      <c r="G37" s="86"/>
      <c r="H37" s="98"/>
      <c r="I37" s="99"/>
      <c r="J37" s="228">
        <f t="shared" si="38"/>
        <v>0</v>
      </c>
      <c r="K37" s="226">
        <f t="shared" si="39"/>
        <v>100</v>
      </c>
      <c r="L37" s="24"/>
      <c r="M37" s="83"/>
      <c r="N37" s="65"/>
      <c r="O37" s="65"/>
      <c r="P37" s="95"/>
      <c r="Q37" s="233"/>
      <c r="R37" s="233"/>
      <c r="S37" s="65"/>
      <c r="T37" s="71"/>
      <c r="U37" s="41"/>
      <c r="V37" s="114"/>
      <c r="W37" s="105"/>
      <c r="X37" s="252"/>
      <c r="Y37" s="105"/>
      <c r="Z37" s="252"/>
      <c r="AA37" s="105"/>
      <c r="AB37" s="252"/>
      <c r="AC37" s="105"/>
      <c r="AD37" s="252"/>
      <c r="AE37" s="105"/>
      <c r="AF37" s="117"/>
      <c r="AG37" s="24"/>
      <c r="AH37" s="59" t="s">
        <v>130</v>
      </c>
      <c r="AI37" s="31">
        <v>0</v>
      </c>
      <c r="AJ37" s="25"/>
      <c r="AK37" s="26">
        <v>0</v>
      </c>
      <c r="AL37" s="27"/>
      <c r="AM37" s="26">
        <v>0</v>
      </c>
      <c r="AN37" s="28">
        <f t="shared" si="3"/>
        <v>0</v>
      </c>
      <c r="AO37" s="26">
        <v>0</v>
      </c>
      <c r="AP37" s="29">
        <f t="shared" si="4"/>
        <v>0</v>
      </c>
      <c r="AQ37" s="26">
        <v>0</v>
      </c>
      <c r="AR37" s="29">
        <f t="shared" si="5"/>
        <v>0</v>
      </c>
      <c r="AS37" s="26">
        <v>0</v>
      </c>
      <c r="AT37" s="29">
        <f t="shared" si="6"/>
        <v>0</v>
      </c>
      <c r="AU37" s="26">
        <v>99</v>
      </c>
      <c r="AV37" s="29">
        <f t="shared" si="7"/>
        <v>0</v>
      </c>
      <c r="AW37" s="26">
        <v>0</v>
      </c>
      <c r="AX37" s="30">
        <f t="shared" si="8"/>
        <v>0</v>
      </c>
      <c r="AY37" s="26">
        <v>0</v>
      </c>
      <c r="AZ37" s="30">
        <f t="shared" si="9"/>
        <v>0</v>
      </c>
      <c r="BA37" s="26">
        <v>0</v>
      </c>
      <c r="BB37" s="30">
        <f t="shared" si="10"/>
        <v>0</v>
      </c>
      <c r="BC37" s="26">
        <v>0</v>
      </c>
      <c r="BD37" s="30">
        <f t="shared" si="11"/>
        <v>0</v>
      </c>
      <c r="BE37" s="26">
        <v>0</v>
      </c>
      <c r="BF37" s="30">
        <f t="shared" si="12"/>
        <v>0</v>
      </c>
      <c r="BG37" s="26">
        <v>0</v>
      </c>
      <c r="BH37" s="30">
        <f t="shared" si="13"/>
        <v>0</v>
      </c>
      <c r="BI37" s="26">
        <v>0</v>
      </c>
      <c r="BJ37" s="30">
        <f t="shared" si="14"/>
        <v>0</v>
      </c>
      <c r="BK37" s="26">
        <v>0</v>
      </c>
      <c r="BL37" s="30">
        <f t="shared" si="15"/>
        <v>0</v>
      </c>
      <c r="BM37" s="26">
        <v>0</v>
      </c>
      <c r="BN37" s="30">
        <f t="shared" si="16"/>
        <v>0</v>
      </c>
      <c r="BO37" s="26">
        <v>37</v>
      </c>
      <c r="BP37" s="30">
        <f t="shared" si="17"/>
        <v>0</v>
      </c>
      <c r="BQ37" s="26">
        <v>0</v>
      </c>
      <c r="BR37" s="30">
        <f t="shared" si="18"/>
        <v>0</v>
      </c>
      <c r="BS37" s="26">
        <v>0</v>
      </c>
      <c r="BT37" s="30"/>
      <c r="BU37" s="26">
        <v>0</v>
      </c>
      <c r="BV37" s="30">
        <f t="shared" si="20"/>
        <v>0</v>
      </c>
      <c r="BW37" s="26">
        <v>0</v>
      </c>
      <c r="BX37" s="30">
        <f t="shared" si="21"/>
        <v>0</v>
      </c>
      <c r="BY37" s="26">
        <v>0</v>
      </c>
      <c r="BZ37" s="30">
        <f t="shared" si="22"/>
        <v>0</v>
      </c>
      <c r="CA37" s="26">
        <v>0</v>
      </c>
      <c r="CB37" s="30">
        <f t="shared" si="23"/>
        <v>0</v>
      </c>
      <c r="CC37" s="26">
        <v>0</v>
      </c>
      <c r="CD37" s="29">
        <f t="shared" si="24"/>
        <v>0</v>
      </c>
      <c r="CE37" s="31">
        <v>0</v>
      </c>
      <c r="CF37" s="29">
        <f t="shared" si="26"/>
        <v>0</v>
      </c>
      <c r="CG37" s="26">
        <v>0</v>
      </c>
      <c r="CH37" s="30">
        <f t="shared" si="27"/>
        <v>0</v>
      </c>
      <c r="CI37" s="26">
        <v>0</v>
      </c>
      <c r="CJ37" s="29">
        <f t="shared" si="28"/>
        <v>0</v>
      </c>
      <c r="CK37" s="26">
        <v>0</v>
      </c>
      <c r="CL37" s="29">
        <f t="shared" si="29"/>
        <v>0</v>
      </c>
      <c r="CM37" s="26">
        <v>0</v>
      </c>
      <c r="CN37" s="29">
        <f t="shared" si="30"/>
        <v>0</v>
      </c>
      <c r="CO37" s="26">
        <v>0</v>
      </c>
      <c r="CP37" s="29">
        <f t="shared" si="31"/>
        <v>0</v>
      </c>
      <c r="CQ37" s="26">
        <v>0</v>
      </c>
      <c r="CR37" s="29">
        <f t="shared" si="32"/>
        <v>0</v>
      </c>
      <c r="CS37" s="26">
        <v>0</v>
      </c>
      <c r="CT37" s="29">
        <f t="shared" si="33"/>
        <v>0</v>
      </c>
      <c r="CU37" s="38">
        <v>0</v>
      </c>
      <c r="CV37" s="29">
        <f t="shared" si="35"/>
        <v>0</v>
      </c>
      <c r="CW37" s="32">
        <v>98</v>
      </c>
      <c r="CX37" s="33">
        <f t="shared" si="36"/>
        <v>0</v>
      </c>
      <c r="DC37" s="140"/>
      <c r="DD37" s="140"/>
      <c r="DE37" s="140"/>
      <c r="DF37" s="140"/>
      <c r="DG37" s="140"/>
      <c r="DH37" s="140"/>
      <c r="DI37" s="140"/>
      <c r="DJ37" s="140"/>
      <c r="DK37" s="140"/>
      <c r="DL37" s="140"/>
      <c r="DM37" s="140"/>
      <c r="DN37" s="140"/>
      <c r="DO37" s="140"/>
      <c r="DP37" s="140"/>
      <c r="DQ37" s="140"/>
      <c r="DR37" s="140"/>
      <c r="DS37" s="140"/>
      <c r="DT37" s="140"/>
      <c r="DU37" s="140"/>
      <c r="DV37" s="140"/>
      <c r="DW37" s="140"/>
      <c r="DX37" s="140"/>
      <c r="DY37" s="140"/>
      <c r="DZ37" s="140"/>
      <c r="EA37" s="140"/>
      <c r="EB37" s="140"/>
      <c r="EC37" s="140"/>
      <c r="ED37" s="140"/>
      <c r="EE37" s="140"/>
      <c r="EF37" s="140"/>
      <c r="EG37" s="140"/>
      <c r="EH37" s="140"/>
      <c r="EI37" s="140"/>
      <c r="EJ37" s="140"/>
      <c r="EK37" s="140"/>
      <c r="EL37" s="140"/>
      <c r="EM37" s="140"/>
      <c r="EN37" s="140"/>
      <c r="EO37" s="140"/>
      <c r="EP37" s="140"/>
      <c r="EQ37" s="140"/>
      <c r="ER37" s="140"/>
      <c r="ES37" s="140"/>
      <c r="ET37" s="140"/>
      <c r="EU37" s="140"/>
      <c r="EV37" s="140"/>
      <c r="EW37" s="140"/>
      <c r="EX37" s="140"/>
    </row>
    <row r="38" spans="1:154" s="34" customFormat="1" x14ac:dyDescent="0.3">
      <c r="B38" s="62">
        <v>1000</v>
      </c>
      <c r="C38" s="55">
        <f t="shared" si="0"/>
        <v>0</v>
      </c>
      <c r="D38" s="78" t="s">
        <v>37</v>
      </c>
      <c r="E38" s="79">
        <f t="shared" si="37"/>
        <v>0</v>
      </c>
      <c r="F38" s="87">
        <v>0</v>
      </c>
      <c r="G38" s="87"/>
      <c r="H38" s="100"/>
      <c r="I38" s="101"/>
      <c r="J38" s="228">
        <f t="shared" si="38"/>
        <v>0</v>
      </c>
      <c r="K38" s="226">
        <f t="shared" si="39"/>
        <v>100</v>
      </c>
      <c r="L38" s="24"/>
      <c r="M38" s="84"/>
      <c r="N38" s="66"/>
      <c r="O38" s="66"/>
      <c r="P38" s="96"/>
      <c r="Q38" s="235"/>
      <c r="R38" s="235"/>
      <c r="S38" s="66"/>
      <c r="T38" s="70"/>
      <c r="U38" s="41"/>
      <c r="V38" s="114"/>
      <c r="W38" s="104"/>
      <c r="X38" s="252"/>
      <c r="Y38" s="104"/>
      <c r="Z38" s="252"/>
      <c r="AA38" s="104"/>
      <c r="AB38" s="252"/>
      <c r="AC38" s="104"/>
      <c r="AD38" s="252"/>
      <c r="AE38" s="104"/>
      <c r="AF38" s="117"/>
      <c r="AG38" s="24"/>
      <c r="AH38" s="60" t="s">
        <v>37</v>
      </c>
      <c r="AI38" s="21">
        <v>0</v>
      </c>
      <c r="AJ38" s="6">
        <f>F38*AI38%</f>
        <v>0</v>
      </c>
      <c r="AK38" s="10">
        <v>0</v>
      </c>
      <c r="AL38" s="7">
        <f>F38*AK38%</f>
        <v>0</v>
      </c>
      <c r="AM38" s="10">
        <v>0</v>
      </c>
      <c r="AN38" s="13">
        <f t="shared" si="3"/>
        <v>0</v>
      </c>
      <c r="AO38" s="10">
        <v>0</v>
      </c>
      <c r="AP38" s="14">
        <f t="shared" si="4"/>
        <v>0</v>
      </c>
      <c r="AQ38" s="10">
        <v>0</v>
      </c>
      <c r="AR38" s="14">
        <f t="shared" si="5"/>
        <v>0</v>
      </c>
      <c r="AS38" s="10">
        <v>0</v>
      </c>
      <c r="AT38" s="14">
        <f t="shared" si="6"/>
        <v>0</v>
      </c>
      <c r="AU38" s="10">
        <v>99</v>
      </c>
      <c r="AV38" s="14">
        <f t="shared" si="7"/>
        <v>0</v>
      </c>
      <c r="AW38" s="10">
        <v>0</v>
      </c>
      <c r="AX38" s="17">
        <f t="shared" si="8"/>
        <v>0</v>
      </c>
      <c r="AY38" s="10">
        <v>0</v>
      </c>
      <c r="AZ38" s="17">
        <f t="shared" si="9"/>
        <v>0</v>
      </c>
      <c r="BA38" s="10">
        <v>0</v>
      </c>
      <c r="BB38" s="17">
        <f t="shared" si="10"/>
        <v>0</v>
      </c>
      <c r="BC38" s="10">
        <v>0</v>
      </c>
      <c r="BD38" s="17">
        <f t="shared" si="11"/>
        <v>0</v>
      </c>
      <c r="BE38" s="10">
        <v>0</v>
      </c>
      <c r="BF38" s="17">
        <f t="shared" si="12"/>
        <v>0</v>
      </c>
      <c r="BG38" s="10">
        <v>0</v>
      </c>
      <c r="BH38" s="17">
        <f t="shared" si="13"/>
        <v>0</v>
      </c>
      <c r="BI38" s="10">
        <v>0</v>
      </c>
      <c r="BJ38" s="17">
        <f t="shared" si="14"/>
        <v>0</v>
      </c>
      <c r="BK38" s="10">
        <v>0</v>
      </c>
      <c r="BL38" s="17">
        <f t="shared" si="15"/>
        <v>0</v>
      </c>
      <c r="BM38" s="10">
        <v>0</v>
      </c>
      <c r="BN38" s="17">
        <f t="shared" si="16"/>
        <v>0</v>
      </c>
      <c r="BO38" s="10">
        <v>0</v>
      </c>
      <c r="BP38" s="17">
        <f t="shared" si="17"/>
        <v>0</v>
      </c>
      <c r="BQ38" s="10">
        <v>0</v>
      </c>
      <c r="BR38" s="17">
        <f t="shared" si="18"/>
        <v>0</v>
      </c>
      <c r="BS38" s="10">
        <v>0</v>
      </c>
      <c r="BT38" s="17">
        <f>F38*BS38%</f>
        <v>0</v>
      </c>
      <c r="BU38" s="12">
        <v>0</v>
      </c>
      <c r="BV38" s="18">
        <f t="shared" si="20"/>
        <v>0</v>
      </c>
      <c r="BW38" s="10">
        <v>39</v>
      </c>
      <c r="BX38" s="17">
        <f t="shared" si="21"/>
        <v>0</v>
      </c>
      <c r="BY38" s="10">
        <v>0</v>
      </c>
      <c r="BZ38" s="17">
        <f t="shared" si="22"/>
        <v>0</v>
      </c>
      <c r="CA38" s="10">
        <v>60</v>
      </c>
      <c r="CB38" s="17">
        <f t="shared" si="23"/>
        <v>0</v>
      </c>
      <c r="CC38" s="10">
        <v>0</v>
      </c>
      <c r="CD38" s="14">
        <f t="shared" si="24"/>
        <v>0</v>
      </c>
      <c r="CE38" s="21">
        <f>(BW38*435)+(BY38*256)-(CA38*282)</f>
        <v>45</v>
      </c>
      <c r="CF38" s="14">
        <f t="shared" si="26"/>
        <v>0</v>
      </c>
      <c r="CG38" s="10">
        <v>0</v>
      </c>
      <c r="CH38" s="17">
        <f t="shared" si="27"/>
        <v>0</v>
      </c>
      <c r="CI38" s="10">
        <v>0</v>
      </c>
      <c r="CJ38" s="14">
        <f t="shared" si="28"/>
        <v>0</v>
      </c>
      <c r="CK38" s="10">
        <v>0</v>
      </c>
      <c r="CL38" s="14">
        <f t="shared" si="29"/>
        <v>0</v>
      </c>
      <c r="CM38" s="10">
        <v>0</v>
      </c>
      <c r="CN38" s="14">
        <f t="shared" si="30"/>
        <v>0</v>
      </c>
      <c r="CO38" s="10">
        <v>0</v>
      </c>
      <c r="CP38" s="14">
        <f t="shared" si="31"/>
        <v>0</v>
      </c>
      <c r="CQ38" s="10">
        <v>0</v>
      </c>
      <c r="CR38" s="14">
        <f t="shared" si="32"/>
        <v>0</v>
      </c>
      <c r="CS38" s="10">
        <v>0</v>
      </c>
      <c r="CT38" s="14">
        <f t="shared" si="33"/>
        <v>0</v>
      </c>
      <c r="CU38" s="10">
        <v>0</v>
      </c>
      <c r="CV38" s="14">
        <f t="shared" si="35"/>
        <v>0</v>
      </c>
      <c r="CW38" s="11">
        <v>98</v>
      </c>
      <c r="CX38" s="20">
        <f t="shared" si="36"/>
        <v>0</v>
      </c>
      <c r="DC38" s="140"/>
      <c r="DD38" s="140"/>
      <c r="DE38" s="140"/>
      <c r="DF38" s="140"/>
      <c r="DG38" s="140"/>
      <c r="DH38" s="140"/>
      <c r="DI38" s="140"/>
      <c r="DJ38" s="140"/>
      <c r="DK38" s="140"/>
      <c r="DL38" s="140"/>
      <c r="DM38" s="140"/>
      <c r="DN38" s="140"/>
      <c r="DO38" s="140"/>
      <c r="DP38" s="140"/>
      <c r="DQ38" s="140"/>
      <c r="DR38" s="140"/>
      <c r="DS38" s="140"/>
      <c r="DT38" s="140"/>
      <c r="DU38" s="140"/>
      <c r="DV38" s="140"/>
      <c r="DW38" s="140"/>
      <c r="DX38" s="140"/>
      <c r="DY38" s="140"/>
      <c r="DZ38" s="140"/>
      <c r="EA38" s="140"/>
      <c r="EB38" s="140"/>
      <c r="EC38" s="140"/>
      <c r="ED38" s="140"/>
      <c r="EE38" s="140"/>
      <c r="EF38" s="140"/>
      <c r="EG38" s="140"/>
      <c r="EH38" s="140"/>
      <c r="EI38" s="140"/>
      <c r="EJ38" s="140"/>
      <c r="EK38" s="140"/>
      <c r="EL38" s="140"/>
      <c r="EM38" s="140"/>
      <c r="EN38" s="140"/>
      <c r="EO38" s="140"/>
      <c r="EP38" s="140"/>
      <c r="EQ38" s="140"/>
      <c r="ER38" s="140"/>
      <c r="ES38" s="140"/>
      <c r="ET38" s="140"/>
      <c r="EU38" s="140"/>
      <c r="EV38" s="140"/>
      <c r="EW38" s="140"/>
      <c r="EX38" s="140"/>
    </row>
    <row r="39" spans="1:154" x14ac:dyDescent="0.3">
      <c r="A39" s="40"/>
      <c r="B39" s="61">
        <v>90000</v>
      </c>
      <c r="C39" s="56">
        <f t="shared" si="0"/>
        <v>900</v>
      </c>
      <c r="D39" s="76" t="s">
        <v>38</v>
      </c>
      <c r="E39" s="77">
        <f t="shared" si="37"/>
        <v>10</v>
      </c>
      <c r="F39" s="86">
        <v>1</v>
      </c>
      <c r="G39" s="86"/>
      <c r="H39" s="98">
        <v>1</v>
      </c>
      <c r="I39" s="99"/>
      <c r="J39" s="228">
        <f t="shared" si="38"/>
        <v>1</v>
      </c>
      <c r="K39" s="226">
        <f t="shared" si="39"/>
        <v>100</v>
      </c>
      <c r="L39" s="40"/>
      <c r="M39" s="83"/>
      <c r="N39" s="65"/>
      <c r="O39" s="65"/>
      <c r="P39" s="95"/>
      <c r="Q39" s="233"/>
      <c r="R39" s="233"/>
      <c r="S39" s="65"/>
      <c r="T39" s="71"/>
      <c r="U39" s="41"/>
      <c r="V39" s="114"/>
      <c r="W39" s="105"/>
      <c r="X39" s="252"/>
      <c r="Y39" s="105"/>
      <c r="Z39" s="252"/>
      <c r="AA39" s="105"/>
      <c r="AB39" s="252"/>
      <c r="AC39" s="105"/>
      <c r="AD39" s="252"/>
      <c r="AE39" s="105"/>
      <c r="AF39" s="117"/>
      <c r="AG39" s="40"/>
      <c r="AH39" s="59" t="s">
        <v>38</v>
      </c>
      <c r="AI39" s="31">
        <v>1900</v>
      </c>
      <c r="AJ39" s="25">
        <f>F39*AI39%</f>
        <v>19</v>
      </c>
      <c r="AK39" s="26">
        <v>21</v>
      </c>
      <c r="AL39" s="27">
        <f>F39*AK39%</f>
        <v>0.21</v>
      </c>
      <c r="AM39" s="26">
        <v>0</v>
      </c>
      <c r="AN39" s="28">
        <f t="shared" si="3"/>
        <v>0</v>
      </c>
      <c r="AO39" s="26">
        <v>0</v>
      </c>
      <c r="AP39" s="29">
        <f t="shared" si="4"/>
        <v>0</v>
      </c>
      <c r="AQ39" s="26">
        <v>0</v>
      </c>
      <c r="AR39" s="29">
        <f t="shared" si="5"/>
        <v>0</v>
      </c>
      <c r="AS39" s="26">
        <v>4</v>
      </c>
      <c r="AT39" s="29">
        <f t="shared" si="6"/>
        <v>0.04</v>
      </c>
      <c r="AU39" s="26">
        <v>35</v>
      </c>
      <c r="AV39" s="29">
        <f t="shared" si="7"/>
        <v>0.35</v>
      </c>
      <c r="AW39" s="26">
        <v>2</v>
      </c>
      <c r="AX39" s="30">
        <f t="shared" si="8"/>
        <v>0.02</v>
      </c>
      <c r="AY39" s="26">
        <v>0</v>
      </c>
      <c r="AZ39" s="30">
        <f t="shared" si="9"/>
        <v>0</v>
      </c>
      <c r="BA39" s="26">
        <v>4.5</v>
      </c>
      <c r="BB39" s="30">
        <f t="shared" si="10"/>
        <v>4.4999999999999998E-2</v>
      </c>
      <c r="BC39" s="26">
        <v>0</v>
      </c>
      <c r="BD39" s="30">
        <f t="shared" si="11"/>
        <v>0</v>
      </c>
      <c r="BE39" s="26">
        <v>0</v>
      </c>
      <c r="BF39" s="30">
        <f t="shared" si="12"/>
        <v>0</v>
      </c>
      <c r="BG39" s="26">
        <v>0</v>
      </c>
      <c r="BH39" s="30">
        <f t="shared" si="13"/>
        <v>0</v>
      </c>
      <c r="BI39" s="26">
        <v>0</v>
      </c>
      <c r="BJ39" s="30">
        <f t="shared" si="14"/>
        <v>0</v>
      </c>
      <c r="BK39" s="26">
        <v>0</v>
      </c>
      <c r="BL39" s="30">
        <f t="shared" si="15"/>
        <v>0</v>
      </c>
      <c r="BM39" s="26">
        <v>0</v>
      </c>
      <c r="BN39" s="30">
        <f t="shared" si="16"/>
        <v>0</v>
      </c>
      <c r="BO39" s="26">
        <v>6</v>
      </c>
      <c r="BP39" s="30">
        <f t="shared" si="17"/>
        <v>0.06</v>
      </c>
      <c r="BQ39" s="26">
        <v>3.5</v>
      </c>
      <c r="BR39" s="30">
        <f t="shared" si="18"/>
        <v>3.5000000000000003E-2</v>
      </c>
      <c r="BS39" s="26">
        <v>0</v>
      </c>
      <c r="BT39" s="30">
        <f>F39*BS39%</f>
        <v>0</v>
      </c>
      <c r="BU39" s="26">
        <v>0</v>
      </c>
      <c r="BV39" s="30">
        <f t="shared" si="20"/>
        <v>0</v>
      </c>
      <c r="BW39" s="26">
        <v>1</v>
      </c>
      <c r="BX39" s="30">
        <f t="shared" si="21"/>
        <v>0.01</v>
      </c>
      <c r="BY39" s="26">
        <v>0</v>
      </c>
      <c r="BZ39" s="30">
        <f t="shared" si="22"/>
        <v>0</v>
      </c>
      <c r="CA39" s="26">
        <v>2</v>
      </c>
      <c r="CB39" s="30">
        <f t="shared" si="23"/>
        <v>0.02</v>
      </c>
      <c r="CC39" s="26">
        <v>2.5</v>
      </c>
      <c r="CD39" s="29">
        <f t="shared" si="24"/>
        <v>2.5000000000000001E-2</v>
      </c>
      <c r="CE39" s="31">
        <v>0</v>
      </c>
      <c r="CF39" s="29">
        <f t="shared" si="26"/>
        <v>0</v>
      </c>
      <c r="CG39" s="26">
        <v>0</v>
      </c>
      <c r="CH39" s="30">
        <f t="shared" si="27"/>
        <v>0</v>
      </c>
      <c r="CI39" s="26">
        <v>0</v>
      </c>
      <c r="CJ39" s="29">
        <f t="shared" si="28"/>
        <v>0</v>
      </c>
      <c r="CK39" s="26">
        <v>0</v>
      </c>
      <c r="CL39" s="29">
        <f t="shared" si="29"/>
        <v>0</v>
      </c>
      <c r="CM39" s="26">
        <v>0</v>
      </c>
      <c r="CN39" s="29">
        <f t="shared" si="30"/>
        <v>0</v>
      </c>
      <c r="CO39" s="26">
        <v>0</v>
      </c>
      <c r="CP39" s="29">
        <f t="shared" si="31"/>
        <v>0</v>
      </c>
      <c r="CQ39" s="26">
        <v>0</v>
      </c>
      <c r="CR39" s="29">
        <f t="shared" si="32"/>
        <v>0</v>
      </c>
      <c r="CS39" s="26">
        <v>0</v>
      </c>
      <c r="CT39" s="29">
        <f t="shared" si="33"/>
        <v>0</v>
      </c>
      <c r="CU39" s="26">
        <v>0</v>
      </c>
      <c r="CV39" s="29">
        <f t="shared" si="35"/>
        <v>0</v>
      </c>
      <c r="CW39" s="32">
        <v>96</v>
      </c>
      <c r="CX39" s="33">
        <f t="shared" si="36"/>
        <v>0.96</v>
      </c>
      <c r="CY39" s="34"/>
      <c r="CZ39" s="40"/>
      <c r="DA39" s="40"/>
      <c r="DB39" s="40"/>
    </row>
    <row r="40" spans="1:154" s="34" customFormat="1" x14ac:dyDescent="0.3">
      <c r="B40" s="62">
        <v>1000</v>
      </c>
      <c r="C40" s="55">
        <f t="shared" si="0"/>
        <v>0</v>
      </c>
      <c r="D40" s="78" t="s">
        <v>86</v>
      </c>
      <c r="E40" s="79">
        <f t="shared" si="37"/>
        <v>0</v>
      </c>
      <c r="F40" s="87">
        <v>0</v>
      </c>
      <c r="G40" s="87"/>
      <c r="H40" s="100"/>
      <c r="I40" s="101"/>
      <c r="J40" s="228">
        <f t="shared" si="38"/>
        <v>0</v>
      </c>
      <c r="K40" s="226">
        <f t="shared" si="39"/>
        <v>100</v>
      </c>
      <c r="L40" s="24"/>
      <c r="M40" s="84"/>
      <c r="N40" s="66"/>
      <c r="O40" s="66"/>
      <c r="P40" s="96"/>
      <c r="Q40" s="235"/>
      <c r="R40" s="235"/>
      <c r="S40" s="66"/>
      <c r="T40" s="70"/>
      <c r="U40" s="41"/>
      <c r="V40" s="114"/>
      <c r="W40" s="104"/>
      <c r="X40" s="252"/>
      <c r="Y40" s="104"/>
      <c r="Z40" s="252"/>
      <c r="AA40" s="104"/>
      <c r="AB40" s="252"/>
      <c r="AC40" s="104"/>
      <c r="AD40" s="252"/>
      <c r="AE40" s="104"/>
      <c r="AF40" s="117"/>
      <c r="AG40" s="24"/>
      <c r="AH40" s="60" t="s">
        <v>86</v>
      </c>
      <c r="AI40" s="21">
        <v>0</v>
      </c>
      <c r="AJ40" s="6">
        <f>F40*AI40%</f>
        <v>0</v>
      </c>
      <c r="AK40" s="10">
        <v>0</v>
      </c>
      <c r="AL40" s="7">
        <f>F40*AK40%</f>
        <v>0</v>
      </c>
      <c r="AM40" s="10">
        <v>0</v>
      </c>
      <c r="AN40" s="13">
        <f t="shared" si="3"/>
        <v>0</v>
      </c>
      <c r="AO40" s="10">
        <v>0</v>
      </c>
      <c r="AP40" s="14">
        <f t="shared" si="4"/>
        <v>0</v>
      </c>
      <c r="AQ40" s="10">
        <v>0</v>
      </c>
      <c r="AR40" s="14">
        <f t="shared" si="5"/>
        <v>0</v>
      </c>
      <c r="AS40" s="10">
        <v>0</v>
      </c>
      <c r="AT40" s="14">
        <f t="shared" si="6"/>
        <v>0</v>
      </c>
      <c r="AU40" s="10">
        <v>0</v>
      </c>
      <c r="AV40" s="14">
        <f t="shared" si="7"/>
        <v>0</v>
      </c>
      <c r="AW40" s="10">
        <v>0</v>
      </c>
      <c r="AX40" s="17">
        <f t="shared" si="8"/>
        <v>0</v>
      </c>
      <c r="AY40" s="10">
        <v>0</v>
      </c>
      <c r="AZ40" s="17">
        <f t="shared" si="9"/>
        <v>0</v>
      </c>
      <c r="BA40" s="10">
        <v>0</v>
      </c>
      <c r="BB40" s="17">
        <f t="shared" si="10"/>
        <v>0</v>
      </c>
      <c r="BC40" s="10">
        <v>0</v>
      </c>
      <c r="BD40" s="17">
        <f t="shared" si="11"/>
        <v>0</v>
      </c>
      <c r="BE40" s="10">
        <v>0</v>
      </c>
      <c r="BF40" s="17">
        <f t="shared" si="12"/>
        <v>0</v>
      </c>
      <c r="BG40" s="10">
        <v>0</v>
      </c>
      <c r="BH40" s="17">
        <f t="shared" si="13"/>
        <v>0</v>
      </c>
      <c r="BI40" s="10">
        <v>0</v>
      </c>
      <c r="BJ40" s="17">
        <f t="shared" si="14"/>
        <v>0</v>
      </c>
      <c r="BK40" s="10">
        <v>0</v>
      </c>
      <c r="BL40" s="17">
        <f t="shared" si="15"/>
        <v>0</v>
      </c>
      <c r="BM40" s="10">
        <v>0</v>
      </c>
      <c r="BN40" s="17">
        <f t="shared" si="16"/>
        <v>0</v>
      </c>
      <c r="BO40" s="10">
        <v>0</v>
      </c>
      <c r="BP40" s="17">
        <f t="shared" si="17"/>
        <v>0</v>
      </c>
      <c r="BQ40" s="10">
        <v>0</v>
      </c>
      <c r="BR40" s="17">
        <f t="shared" si="18"/>
        <v>0</v>
      </c>
      <c r="BS40" s="10">
        <v>0</v>
      </c>
      <c r="BT40" s="17">
        <f>F40*BS40%</f>
        <v>0</v>
      </c>
      <c r="BU40" s="12">
        <v>0</v>
      </c>
      <c r="BV40" s="18">
        <f t="shared" si="20"/>
        <v>0</v>
      </c>
      <c r="BW40" s="10">
        <v>0</v>
      </c>
      <c r="BX40" s="17">
        <f t="shared" si="21"/>
        <v>0</v>
      </c>
      <c r="BY40" s="10">
        <v>0</v>
      </c>
      <c r="BZ40" s="17">
        <f t="shared" si="22"/>
        <v>0</v>
      </c>
      <c r="CA40" s="10">
        <v>0</v>
      </c>
      <c r="CB40" s="17">
        <f t="shared" si="23"/>
        <v>0</v>
      </c>
      <c r="CC40" s="10">
        <v>0</v>
      </c>
      <c r="CD40" s="14">
        <f t="shared" si="24"/>
        <v>0</v>
      </c>
      <c r="CE40" s="21">
        <v>0</v>
      </c>
      <c r="CF40" s="14">
        <f t="shared" si="26"/>
        <v>0</v>
      </c>
      <c r="CG40" s="10">
        <v>0</v>
      </c>
      <c r="CH40" s="17">
        <f t="shared" si="27"/>
        <v>0</v>
      </c>
      <c r="CI40" s="10">
        <v>0</v>
      </c>
      <c r="CJ40" s="14">
        <f t="shared" si="28"/>
        <v>0</v>
      </c>
      <c r="CK40" s="10">
        <v>0</v>
      </c>
      <c r="CL40" s="14">
        <f t="shared" si="29"/>
        <v>0</v>
      </c>
      <c r="CM40" s="10">
        <v>0</v>
      </c>
      <c r="CN40" s="14">
        <f t="shared" si="30"/>
        <v>0</v>
      </c>
      <c r="CO40" s="10">
        <v>0</v>
      </c>
      <c r="CP40" s="14">
        <f t="shared" si="31"/>
        <v>0</v>
      </c>
      <c r="CQ40" s="10">
        <v>0</v>
      </c>
      <c r="CR40" s="14">
        <f t="shared" si="32"/>
        <v>0</v>
      </c>
      <c r="CS40" s="10">
        <v>0</v>
      </c>
      <c r="CT40" s="14">
        <f t="shared" si="33"/>
        <v>0</v>
      </c>
      <c r="CU40" s="10">
        <v>0</v>
      </c>
      <c r="CV40" s="14">
        <f t="shared" si="35"/>
        <v>0</v>
      </c>
      <c r="CW40" s="11">
        <v>98</v>
      </c>
      <c r="CX40" s="20">
        <f t="shared" si="36"/>
        <v>0</v>
      </c>
      <c r="DC40" s="140"/>
      <c r="DD40" s="140"/>
      <c r="DE40" s="140"/>
      <c r="DF40" s="140"/>
      <c r="DG40" s="140"/>
      <c r="DH40" s="140"/>
      <c r="DI40" s="140"/>
      <c r="DJ40" s="140"/>
      <c r="DK40" s="140"/>
      <c r="DL40" s="140"/>
      <c r="DM40" s="140"/>
      <c r="DN40" s="140"/>
      <c r="DO40" s="140"/>
      <c r="DP40" s="140"/>
      <c r="DQ40" s="140"/>
      <c r="DR40" s="140"/>
      <c r="DS40" s="140"/>
      <c r="DT40" s="140"/>
      <c r="DU40" s="140"/>
      <c r="DV40" s="140"/>
      <c r="DW40" s="140"/>
      <c r="DX40" s="140"/>
      <c r="DY40" s="140"/>
      <c r="DZ40" s="140"/>
      <c r="EA40" s="140"/>
      <c r="EB40" s="140"/>
      <c r="EC40" s="140"/>
      <c r="ED40" s="140"/>
      <c r="EE40" s="140"/>
      <c r="EF40" s="140"/>
      <c r="EG40" s="140"/>
      <c r="EH40" s="140"/>
      <c r="EI40" s="140"/>
      <c r="EJ40" s="140"/>
      <c r="EK40" s="140"/>
      <c r="EL40" s="140"/>
      <c r="EM40" s="140"/>
      <c r="EN40" s="140"/>
      <c r="EO40" s="140"/>
      <c r="EP40" s="140"/>
      <c r="EQ40" s="140"/>
      <c r="ER40" s="140"/>
      <c r="ES40" s="140"/>
      <c r="ET40" s="140"/>
      <c r="EU40" s="140"/>
      <c r="EV40" s="140"/>
      <c r="EW40" s="140"/>
      <c r="EX40" s="140"/>
    </row>
    <row r="41" spans="1:154" ht="15.5" thickBot="1" x14ac:dyDescent="0.35">
      <c r="A41" s="40"/>
      <c r="B41" s="141">
        <v>1</v>
      </c>
      <c r="C41" s="142">
        <f t="shared" si="0"/>
        <v>3.6744450905472931E-2</v>
      </c>
      <c r="D41" s="143" t="s">
        <v>87</v>
      </c>
      <c r="E41" s="144">
        <f t="shared" si="37"/>
        <v>36.744450905472931</v>
      </c>
      <c r="F41" s="145">
        <v>3.6744450905472927</v>
      </c>
      <c r="G41" s="145"/>
      <c r="H41" s="146"/>
      <c r="I41" s="147"/>
      <c r="J41" s="229">
        <f t="shared" si="38"/>
        <v>0</v>
      </c>
      <c r="K41" s="227">
        <f t="shared" si="39"/>
        <v>100</v>
      </c>
      <c r="L41" s="40"/>
      <c r="M41" s="150"/>
      <c r="N41" s="127"/>
      <c r="O41" s="127"/>
      <c r="P41" s="128"/>
      <c r="Q41" s="236"/>
      <c r="R41" s="236"/>
      <c r="S41" s="127"/>
      <c r="T41" s="151"/>
      <c r="U41" s="41"/>
      <c r="V41" s="125"/>
      <c r="W41" s="149"/>
      <c r="X41" s="253"/>
      <c r="Y41" s="149"/>
      <c r="Z41" s="253"/>
      <c r="AA41" s="149"/>
      <c r="AB41" s="253"/>
      <c r="AC41" s="149"/>
      <c r="AD41" s="253"/>
      <c r="AE41" s="149"/>
      <c r="AF41" s="126"/>
      <c r="AG41" s="40"/>
      <c r="AH41" s="148" t="s">
        <v>87</v>
      </c>
      <c r="AI41" s="31">
        <v>0</v>
      </c>
      <c r="AJ41" s="25">
        <f>F41*AI41%</f>
        <v>0</v>
      </c>
      <c r="AK41" s="26">
        <v>0</v>
      </c>
      <c r="AL41" s="27">
        <f>F41*AK41%</f>
        <v>0</v>
      </c>
      <c r="AM41" s="26">
        <v>0</v>
      </c>
      <c r="AN41" s="28">
        <f t="shared" si="3"/>
        <v>0</v>
      </c>
      <c r="AO41" s="26">
        <v>0</v>
      </c>
      <c r="AP41" s="29">
        <f t="shared" si="4"/>
        <v>0</v>
      </c>
      <c r="AQ41" s="26">
        <v>0</v>
      </c>
      <c r="AR41" s="29">
        <f t="shared" si="5"/>
        <v>0</v>
      </c>
      <c r="AS41" s="26">
        <v>0</v>
      </c>
      <c r="AT41" s="29">
        <f t="shared" si="6"/>
        <v>0</v>
      </c>
      <c r="AU41" s="26">
        <v>0</v>
      </c>
      <c r="AV41" s="29">
        <f t="shared" si="7"/>
        <v>0</v>
      </c>
      <c r="AW41" s="26">
        <v>0</v>
      </c>
      <c r="AX41" s="30">
        <f t="shared" si="8"/>
        <v>0</v>
      </c>
      <c r="AY41" s="26">
        <v>0</v>
      </c>
      <c r="AZ41" s="30">
        <f t="shared" si="9"/>
        <v>0</v>
      </c>
      <c r="BA41" s="26">
        <v>0</v>
      </c>
      <c r="BB41" s="30">
        <f t="shared" si="10"/>
        <v>0</v>
      </c>
      <c r="BC41" s="26">
        <v>0</v>
      </c>
      <c r="BD41" s="30">
        <f t="shared" si="11"/>
        <v>0</v>
      </c>
      <c r="BE41" s="26">
        <v>0</v>
      </c>
      <c r="BF41" s="30">
        <f t="shared" si="12"/>
        <v>0</v>
      </c>
      <c r="BG41" s="26">
        <v>0</v>
      </c>
      <c r="BH41" s="30">
        <f t="shared" si="13"/>
        <v>0</v>
      </c>
      <c r="BI41" s="26">
        <v>0</v>
      </c>
      <c r="BJ41" s="30">
        <f t="shared" si="14"/>
        <v>0</v>
      </c>
      <c r="BK41" s="26">
        <v>0</v>
      </c>
      <c r="BL41" s="30">
        <f t="shared" si="15"/>
        <v>0</v>
      </c>
      <c r="BM41" s="26">
        <v>0</v>
      </c>
      <c r="BN41" s="30">
        <f t="shared" si="16"/>
        <v>0</v>
      </c>
      <c r="BO41" s="26">
        <v>0</v>
      </c>
      <c r="BP41" s="30">
        <f t="shared" si="17"/>
        <v>0</v>
      </c>
      <c r="BQ41" s="26">
        <v>0</v>
      </c>
      <c r="BR41" s="30">
        <f t="shared" si="18"/>
        <v>0</v>
      </c>
      <c r="BS41" s="26">
        <v>0</v>
      </c>
      <c r="BT41" s="30">
        <f>F41*BS41%</f>
        <v>0</v>
      </c>
      <c r="BU41" s="26">
        <v>0</v>
      </c>
      <c r="BV41" s="30">
        <f t="shared" si="20"/>
        <v>0</v>
      </c>
      <c r="BW41" s="26">
        <v>0</v>
      </c>
      <c r="BX41" s="30">
        <f t="shared" si="21"/>
        <v>0</v>
      </c>
      <c r="BY41" s="26">
        <v>0</v>
      </c>
      <c r="BZ41" s="30">
        <f t="shared" si="22"/>
        <v>0</v>
      </c>
      <c r="CA41" s="26">
        <v>0</v>
      </c>
      <c r="CB41" s="30">
        <f t="shared" si="23"/>
        <v>0</v>
      </c>
      <c r="CC41" s="26">
        <v>0</v>
      </c>
      <c r="CD41" s="29">
        <f t="shared" si="24"/>
        <v>0</v>
      </c>
      <c r="CE41" s="31">
        <v>0</v>
      </c>
      <c r="CF41" s="29">
        <f t="shared" si="26"/>
        <v>0</v>
      </c>
      <c r="CG41" s="26">
        <v>0</v>
      </c>
      <c r="CH41" s="30">
        <f t="shared" si="27"/>
        <v>0</v>
      </c>
      <c r="CI41" s="26">
        <v>0</v>
      </c>
      <c r="CJ41" s="29">
        <f t="shared" si="28"/>
        <v>0</v>
      </c>
      <c r="CK41" s="26">
        <v>0</v>
      </c>
      <c r="CL41" s="29">
        <f t="shared" si="29"/>
        <v>0</v>
      </c>
      <c r="CM41" s="26">
        <v>0</v>
      </c>
      <c r="CN41" s="29">
        <f t="shared" si="30"/>
        <v>0</v>
      </c>
      <c r="CO41" s="26">
        <v>0</v>
      </c>
      <c r="CP41" s="29">
        <f t="shared" si="31"/>
        <v>0</v>
      </c>
      <c r="CQ41" s="26">
        <v>0</v>
      </c>
      <c r="CR41" s="29">
        <f t="shared" si="32"/>
        <v>0</v>
      </c>
      <c r="CS41" s="26">
        <v>0</v>
      </c>
      <c r="CT41" s="29">
        <f t="shared" si="33"/>
        <v>0</v>
      </c>
      <c r="CU41" s="26">
        <v>0</v>
      </c>
      <c r="CV41" s="29">
        <f t="shared" si="35"/>
        <v>0</v>
      </c>
      <c r="CW41" s="32">
        <v>98</v>
      </c>
      <c r="CX41" s="33">
        <f t="shared" si="36"/>
        <v>3.6009561887363466</v>
      </c>
      <c r="CY41" s="34"/>
      <c r="CZ41" s="40"/>
      <c r="DA41" s="40"/>
      <c r="DB41" s="40"/>
    </row>
    <row r="42" spans="1:154" ht="18" customHeight="1" thickBot="1" x14ac:dyDescent="0.35">
      <c r="A42" s="40"/>
      <c r="B42" s="40"/>
      <c r="C42" s="40"/>
      <c r="D42" s="80"/>
      <c r="E42" s="88">
        <f>SUM(E5:E41)</f>
        <v>1000.0000000000005</v>
      </c>
      <c r="F42" s="89">
        <f>SUM(F5:F41)</f>
        <v>100.00000000000007</v>
      </c>
      <c r="G42" s="90"/>
      <c r="H42" s="102"/>
      <c r="I42" s="102"/>
      <c r="J42" s="243"/>
      <c r="K42" s="239"/>
      <c r="L42" s="40"/>
      <c r="M42" s="129"/>
      <c r="N42" s="65"/>
      <c r="O42" s="65"/>
      <c r="P42" s="95"/>
      <c r="Q42" s="233"/>
      <c r="R42" s="233"/>
      <c r="S42" s="65"/>
      <c r="T42" s="105"/>
      <c r="U42" s="50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40"/>
      <c r="AH42" s="57"/>
      <c r="AI42" s="51"/>
      <c r="AJ42" s="41"/>
      <c r="AK42" s="51"/>
      <c r="AL42" s="52"/>
      <c r="AM42" s="51"/>
      <c r="AN42" s="52"/>
      <c r="AO42" s="51"/>
      <c r="AP42" s="52"/>
      <c r="AQ42" s="51"/>
      <c r="AR42" s="52"/>
      <c r="AS42" s="51"/>
      <c r="AT42" s="53"/>
      <c r="AU42" s="51"/>
      <c r="AV42" s="53"/>
      <c r="AW42" s="51"/>
      <c r="AX42" s="53"/>
      <c r="AY42" s="51"/>
      <c r="AZ42" s="53"/>
      <c r="BA42" s="51"/>
      <c r="BB42" s="53"/>
      <c r="BC42" s="51"/>
      <c r="BD42" s="53"/>
      <c r="BE42" s="51"/>
      <c r="BF42" s="53"/>
      <c r="BG42" s="51"/>
      <c r="BH42" s="53"/>
      <c r="BI42" s="51"/>
      <c r="BJ42" s="53"/>
      <c r="BK42" s="51"/>
      <c r="BL42" s="53"/>
      <c r="BM42" s="51"/>
      <c r="BN42" s="53"/>
      <c r="BO42" s="51"/>
      <c r="BP42" s="53"/>
      <c r="BQ42" s="51"/>
      <c r="BR42" s="53"/>
      <c r="BS42" s="51"/>
      <c r="BT42" s="53"/>
      <c r="BU42" s="51"/>
      <c r="BV42" s="53"/>
      <c r="BW42" s="51"/>
      <c r="BX42" s="53"/>
      <c r="BY42" s="51"/>
      <c r="BZ42" s="53"/>
      <c r="CA42" s="51"/>
      <c r="CB42" s="53"/>
      <c r="CC42" s="51"/>
      <c r="CD42" s="53"/>
      <c r="CE42" s="51"/>
      <c r="CF42" s="54"/>
      <c r="CG42" s="51"/>
      <c r="CH42" s="53"/>
      <c r="CI42" s="51"/>
      <c r="CJ42" s="53"/>
      <c r="CK42" s="51"/>
      <c r="CL42" s="53"/>
      <c r="CM42" s="51"/>
      <c r="CN42" s="53"/>
      <c r="CO42" s="51"/>
      <c r="CP42" s="53"/>
      <c r="CQ42" s="51"/>
      <c r="CR42" s="53"/>
      <c r="CS42" s="51"/>
      <c r="CT42" s="53"/>
      <c r="CU42" s="51"/>
      <c r="CV42" s="53"/>
      <c r="CW42" s="51"/>
      <c r="CX42" s="48"/>
      <c r="CY42" s="40"/>
      <c r="CZ42" s="40"/>
      <c r="DA42" s="40"/>
      <c r="DB42" s="40"/>
    </row>
    <row r="43" spans="1:154" s="40" customFormat="1" x14ac:dyDescent="0.3">
      <c r="B43" s="42"/>
      <c r="C43" s="42"/>
      <c r="D43" s="72"/>
      <c r="E43" s="73"/>
      <c r="F43" s="43"/>
      <c r="G43" s="43"/>
      <c r="H43" s="43"/>
      <c r="I43" s="43"/>
      <c r="J43" s="238"/>
      <c r="K43" s="239"/>
      <c r="M43" s="129"/>
      <c r="N43" s="65"/>
      <c r="O43" s="65"/>
      <c r="P43" s="95"/>
      <c r="Q43" s="233"/>
      <c r="R43" s="233"/>
      <c r="S43" s="65"/>
      <c r="T43" s="105"/>
      <c r="U43" s="50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H43" s="57"/>
      <c r="AI43" s="46"/>
      <c r="AJ43" s="41"/>
      <c r="AK43" s="49"/>
      <c r="AL43" s="50"/>
      <c r="AM43" s="49"/>
      <c r="AN43" s="50"/>
      <c r="AO43" s="49"/>
      <c r="AP43" s="50"/>
      <c r="AQ43" s="49"/>
      <c r="AR43" s="50"/>
      <c r="AS43" s="49"/>
      <c r="AT43" s="48"/>
      <c r="AU43" s="49"/>
      <c r="AV43" s="48"/>
      <c r="AW43" s="49"/>
      <c r="AX43" s="48"/>
      <c r="AY43" s="49"/>
      <c r="AZ43" s="48"/>
      <c r="BA43" s="49"/>
      <c r="BB43" s="48"/>
      <c r="BC43" s="49"/>
      <c r="BD43" s="48"/>
      <c r="BE43" s="49"/>
      <c r="BF43" s="48"/>
      <c r="BG43" s="49"/>
      <c r="BH43" s="48"/>
      <c r="BI43" s="49"/>
      <c r="BJ43" s="48"/>
      <c r="BK43" s="49"/>
      <c r="BL43" s="48"/>
      <c r="BM43" s="49"/>
      <c r="BN43" s="48"/>
      <c r="BO43" s="49"/>
      <c r="BP43" s="48"/>
      <c r="BQ43" s="49"/>
      <c r="BR43" s="48"/>
      <c r="BS43" s="49"/>
      <c r="BT43" s="48"/>
      <c r="BU43" s="49"/>
      <c r="BV43" s="48"/>
      <c r="BW43" s="49"/>
      <c r="BX43" s="48"/>
      <c r="BY43" s="49"/>
      <c r="BZ43" s="48"/>
      <c r="CA43" s="49"/>
      <c r="CB43" s="48"/>
      <c r="CC43" s="49"/>
      <c r="CD43" s="48"/>
      <c r="CE43" s="49"/>
      <c r="CF43" s="48"/>
      <c r="CG43" s="49"/>
      <c r="CH43" s="48"/>
      <c r="CI43" s="49"/>
      <c r="CJ43" s="48"/>
      <c r="CK43" s="49"/>
      <c r="CL43" s="48"/>
      <c r="CM43" s="49"/>
      <c r="CN43" s="48"/>
      <c r="CO43" s="49"/>
      <c r="CP43" s="48"/>
      <c r="CQ43" s="49"/>
      <c r="CR43" s="48"/>
      <c r="CS43" s="49"/>
      <c r="CT43" s="48"/>
      <c r="CU43" s="49"/>
      <c r="CV43" s="48"/>
      <c r="CW43" s="49"/>
      <c r="CX43" s="48"/>
      <c r="DC43" s="138"/>
      <c r="DD43" s="138"/>
      <c r="DE43" s="138"/>
      <c r="DF43" s="138"/>
      <c r="DG43" s="138"/>
      <c r="DH43" s="138"/>
      <c r="DI43" s="138"/>
      <c r="DJ43" s="138"/>
      <c r="DK43" s="138"/>
      <c r="DL43" s="138"/>
      <c r="DM43" s="138"/>
      <c r="DN43" s="138"/>
      <c r="DO43" s="138"/>
      <c r="DP43" s="138"/>
      <c r="DQ43" s="138"/>
      <c r="DR43" s="138"/>
      <c r="DS43" s="138"/>
      <c r="DT43" s="138"/>
      <c r="DU43" s="138"/>
      <c r="DV43" s="138"/>
      <c r="DW43" s="138"/>
      <c r="DX43" s="138"/>
      <c r="DY43" s="138"/>
      <c r="DZ43" s="138"/>
      <c r="EA43" s="138"/>
      <c r="EB43" s="138"/>
      <c r="EC43" s="138"/>
      <c r="ED43" s="138"/>
      <c r="EE43" s="138"/>
      <c r="EF43" s="138"/>
      <c r="EG43" s="138"/>
      <c r="EH43" s="138"/>
      <c r="EI43" s="138"/>
      <c r="EJ43" s="138"/>
      <c r="EK43" s="138"/>
      <c r="EL43" s="138"/>
      <c r="EM43" s="138"/>
      <c r="EN43" s="138"/>
      <c r="EO43" s="138"/>
      <c r="EP43" s="138"/>
      <c r="EQ43" s="138"/>
      <c r="ER43" s="138"/>
      <c r="ES43" s="138"/>
      <c r="ET43" s="138"/>
      <c r="EU43" s="138"/>
      <c r="EV43" s="138"/>
      <c r="EW43" s="138"/>
      <c r="EX43" s="138"/>
    </row>
    <row r="44" spans="1:154" s="40" customFormat="1" x14ac:dyDescent="0.3">
      <c r="B44" s="42"/>
      <c r="C44" s="42"/>
      <c r="D44" s="72"/>
      <c r="E44" s="73"/>
      <c r="F44" s="43"/>
      <c r="G44" s="43"/>
      <c r="H44" s="43"/>
      <c r="I44" s="43"/>
      <c r="J44" s="238"/>
      <c r="K44" s="239"/>
      <c r="M44" s="129"/>
      <c r="N44" s="65"/>
      <c r="O44" s="65"/>
      <c r="P44" s="95"/>
      <c r="Q44" s="233"/>
      <c r="R44" s="233"/>
      <c r="S44" s="65"/>
      <c r="T44" s="105"/>
      <c r="U44" s="50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H44" s="57"/>
      <c r="AI44" s="46"/>
      <c r="AJ44" s="41"/>
      <c r="AK44" s="46"/>
      <c r="AL44" s="41"/>
      <c r="AM44" s="46"/>
      <c r="AN44" s="41"/>
      <c r="AO44" s="46"/>
      <c r="AP44" s="41"/>
      <c r="AQ44" s="46"/>
      <c r="AR44" s="41"/>
      <c r="AS44" s="46"/>
      <c r="AT44" s="47"/>
      <c r="AU44" s="46"/>
      <c r="AV44" s="47"/>
      <c r="AW44" s="46"/>
      <c r="AX44" s="47"/>
      <c r="AY44" s="46"/>
      <c r="AZ44" s="47"/>
      <c r="BA44" s="46"/>
      <c r="BB44" s="47"/>
      <c r="BC44" s="46"/>
      <c r="BD44" s="47"/>
      <c r="BE44" s="46"/>
      <c r="BF44" s="47"/>
      <c r="BG44" s="46"/>
      <c r="BH44" s="47"/>
      <c r="BI44" s="46"/>
      <c r="BJ44" s="47"/>
      <c r="BK44" s="46"/>
      <c r="BL44" s="47"/>
      <c r="BM44" s="46"/>
      <c r="BN44" s="47"/>
      <c r="BO44" s="46"/>
      <c r="BP44" s="47"/>
      <c r="BQ44" s="46"/>
      <c r="BR44" s="47"/>
      <c r="BS44" s="46"/>
      <c r="BT44" s="47"/>
      <c r="BU44" s="46"/>
      <c r="BV44" s="47"/>
      <c r="BW44" s="46"/>
      <c r="BX44" s="47"/>
      <c r="BY44" s="46"/>
      <c r="BZ44" s="47"/>
      <c r="CA44" s="46"/>
      <c r="CB44" s="47"/>
      <c r="CC44" s="46"/>
      <c r="CD44" s="47"/>
      <c r="CE44" s="46"/>
      <c r="CF44" s="47"/>
      <c r="CG44" s="46"/>
      <c r="CH44" s="47"/>
      <c r="CI44" s="46"/>
      <c r="CJ44" s="47"/>
      <c r="CK44" s="46"/>
      <c r="CL44" s="47"/>
      <c r="CM44" s="46"/>
      <c r="CN44" s="47"/>
      <c r="CO44" s="46"/>
      <c r="CP44" s="47"/>
      <c r="CQ44" s="46"/>
      <c r="CR44" s="47"/>
      <c r="CS44" s="46"/>
      <c r="CT44" s="47"/>
      <c r="CU44" s="46"/>
      <c r="CV44" s="47"/>
      <c r="CW44" s="46"/>
      <c r="CX44" s="48"/>
      <c r="DC44" s="138"/>
      <c r="DD44" s="138"/>
      <c r="DE44" s="138"/>
      <c r="DF44" s="138"/>
      <c r="DG44" s="138"/>
      <c r="DH44" s="138"/>
      <c r="DI44" s="138"/>
      <c r="DJ44" s="138"/>
      <c r="DK44" s="138"/>
      <c r="DL44" s="138"/>
      <c r="DM44" s="138"/>
      <c r="DN44" s="138"/>
      <c r="DO44" s="138"/>
      <c r="DP44" s="138"/>
      <c r="DQ44" s="138"/>
      <c r="DR44" s="138"/>
      <c r="DS44" s="138"/>
      <c r="DT44" s="138"/>
      <c r="DU44" s="138"/>
      <c r="DV44" s="138"/>
      <c r="DW44" s="138"/>
      <c r="DX44" s="138"/>
      <c r="DY44" s="138"/>
      <c r="DZ44" s="138"/>
      <c r="EA44" s="138"/>
      <c r="EB44" s="138"/>
      <c r="EC44" s="138"/>
      <c r="ED44" s="138"/>
      <c r="EE44" s="138"/>
      <c r="EF44" s="138"/>
      <c r="EG44" s="138"/>
      <c r="EH44" s="138"/>
      <c r="EI44" s="138"/>
      <c r="EJ44" s="138"/>
      <c r="EK44" s="138"/>
      <c r="EL44" s="138"/>
      <c r="EM44" s="138"/>
      <c r="EN44" s="138"/>
      <c r="EO44" s="138"/>
      <c r="EP44" s="138"/>
      <c r="EQ44" s="138"/>
      <c r="ER44" s="138"/>
      <c r="ES44" s="138"/>
      <c r="ET44" s="138"/>
      <c r="EU44" s="138"/>
      <c r="EV44" s="138"/>
      <c r="EW44" s="138"/>
      <c r="EX44" s="138"/>
    </row>
    <row r="45" spans="1:154" s="40" customFormat="1" x14ac:dyDescent="0.3">
      <c r="B45" s="42"/>
      <c r="C45" s="42"/>
      <c r="D45" s="72"/>
      <c r="E45" s="73"/>
      <c r="F45" s="43"/>
      <c r="G45" s="43"/>
      <c r="H45" s="43"/>
      <c r="I45" s="43"/>
      <c r="J45" s="238"/>
      <c r="K45" s="239"/>
      <c r="M45" s="130"/>
      <c r="N45" s="65"/>
      <c r="O45" s="65"/>
      <c r="P45" s="95"/>
      <c r="Q45" s="233"/>
      <c r="R45" s="233"/>
      <c r="S45" s="65"/>
      <c r="T45" s="106"/>
      <c r="U45" s="50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H45" s="57"/>
      <c r="AI45" s="46"/>
      <c r="AJ45" s="41"/>
      <c r="AK45" s="46"/>
      <c r="AL45" s="41"/>
      <c r="AM45" s="46"/>
      <c r="AN45" s="41"/>
      <c r="AO45" s="46"/>
      <c r="AP45" s="41"/>
      <c r="AQ45" s="46"/>
      <c r="AR45" s="41"/>
      <c r="AS45" s="46"/>
      <c r="AT45" s="47"/>
      <c r="AU45" s="46"/>
      <c r="AV45" s="47"/>
      <c r="AW45" s="46"/>
      <c r="AX45" s="47"/>
      <c r="AY45" s="46"/>
      <c r="AZ45" s="47"/>
      <c r="BA45" s="46"/>
      <c r="BB45" s="47"/>
      <c r="BC45" s="46"/>
      <c r="BD45" s="47"/>
      <c r="BE45" s="46"/>
      <c r="BF45" s="47"/>
      <c r="BG45" s="46"/>
      <c r="BH45" s="47"/>
      <c r="BI45" s="46"/>
      <c r="BJ45" s="47"/>
      <c r="BK45" s="46"/>
      <c r="BL45" s="47"/>
      <c r="BM45" s="46"/>
      <c r="BN45" s="47"/>
      <c r="BO45" s="46"/>
      <c r="BP45" s="47"/>
      <c r="BQ45" s="46"/>
      <c r="BR45" s="47"/>
      <c r="BS45" s="46"/>
      <c r="BT45" s="47"/>
      <c r="BU45" s="46"/>
      <c r="BV45" s="47"/>
      <c r="BW45" s="46"/>
      <c r="BX45" s="47"/>
      <c r="BY45" s="46"/>
      <c r="BZ45" s="47"/>
      <c r="CA45" s="46"/>
      <c r="CB45" s="47"/>
      <c r="CC45" s="46"/>
      <c r="CD45" s="47"/>
      <c r="CE45" s="46"/>
      <c r="CF45" s="47"/>
      <c r="CG45" s="46"/>
      <c r="CH45" s="47"/>
      <c r="CI45" s="46"/>
      <c r="CJ45" s="47"/>
      <c r="CK45" s="46"/>
      <c r="CL45" s="47"/>
      <c r="CM45" s="46"/>
      <c r="CN45" s="47"/>
      <c r="CO45" s="46"/>
      <c r="CP45" s="47"/>
      <c r="CQ45" s="46"/>
      <c r="CR45" s="47"/>
      <c r="CS45" s="46"/>
      <c r="CT45" s="47"/>
      <c r="CU45" s="46"/>
      <c r="CV45" s="47"/>
      <c r="CW45" s="46"/>
      <c r="CX45" s="48"/>
      <c r="DC45" s="138"/>
      <c r="DD45" s="138"/>
      <c r="DE45" s="138"/>
      <c r="DF45" s="138"/>
      <c r="DG45" s="138"/>
      <c r="DH45" s="138"/>
      <c r="DI45" s="138"/>
      <c r="DJ45" s="138"/>
      <c r="DK45" s="138"/>
      <c r="DL45" s="138"/>
      <c r="DM45" s="138"/>
      <c r="DN45" s="138"/>
      <c r="DO45" s="138"/>
      <c r="DP45" s="138"/>
      <c r="DQ45" s="138"/>
      <c r="DR45" s="138"/>
      <c r="DS45" s="138"/>
      <c r="DT45" s="138"/>
      <c r="DU45" s="138"/>
      <c r="DV45" s="138"/>
      <c r="DW45" s="138"/>
      <c r="DX45" s="138"/>
      <c r="DY45" s="138"/>
      <c r="DZ45" s="138"/>
      <c r="EA45" s="138"/>
      <c r="EB45" s="138"/>
      <c r="EC45" s="138"/>
      <c r="ED45" s="138"/>
      <c r="EE45" s="138"/>
      <c r="EF45" s="138"/>
      <c r="EG45" s="138"/>
      <c r="EH45" s="138"/>
      <c r="EI45" s="138"/>
      <c r="EJ45" s="138"/>
      <c r="EK45" s="138"/>
      <c r="EL45" s="138"/>
      <c r="EM45" s="138"/>
      <c r="EN45" s="138"/>
      <c r="EO45" s="138"/>
      <c r="EP45" s="138"/>
      <c r="EQ45" s="138"/>
      <c r="ER45" s="138"/>
      <c r="ES45" s="138"/>
      <c r="ET45" s="138"/>
      <c r="EU45" s="138"/>
      <c r="EV45" s="138"/>
      <c r="EW45" s="138"/>
      <c r="EX45" s="138"/>
    </row>
    <row r="46" spans="1:154" s="40" customFormat="1" x14ac:dyDescent="0.3">
      <c r="B46" s="42"/>
      <c r="C46" s="42"/>
      <c r="D46" s="72"/>
      <c r="E46" s="73"/>
      <c r="F46" s="43"/>
      <c r="G46" s="43"/>
      <c r="H46" s="43"/>
      <c r="I46" s="43"/>
      <c r="J46" s="238"/>
      <c r="K46" s="239"/>
      <c r="M46" s="129"/>
      <c r="N46" s="65"/>
      <c r="O46" s="65"/>
      <c r="P46" s="95"/>
      <c r="Q46" s="233"/>
      <c r="R46" s="233"/>
      <c r="S46" s="65"/>
      <c r="T46" s="105"/>
      <c r="U46" s="50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H46" s="57"/>
      <c r="AI46" s="46"/>
      <c r="AJ46" s="41"/>
      <c r="AK46" s="46"/>
      <c r="AL46" s="41"/>
      <c r="AM46" s="46"/>
      <c r="AN46" s="41"/>
      <c r="AO46" s="46"/>
      <c r="AP46" s="41"/>
      <c r="AQ46" s="46"/>
      <c r="AR46" s="41"/>
      <c r="AS46" s="46"/>
      <c r="AT46" s="47"/>
      <c r="AU46" s="46"/>
      <c r="AV46" s="47"/>
      <c r="AW46" s="46"/>
      <c r="AX46" s="47"/>
      <c r="AY46" s="46"/>
      <c r="AZ46" s="47"/>
      <c r="BA46" s="46"/>
      <c r="BB46" s="47"/>
      <c r="BC46" s="46"/>
      <c r="BD46" s="47"/>
      <c r="BE46" s="46"/>
      <c r="BF46" s="47"/>
      <c r="BG46" s="46"/>
      <c r="BH46" s="47"/>
      <c r="BI46" s="46"/>
      <c r="BJ46" s="47"/>
      <c r="BK46" s="46"/>
      <c r="BL46" s="47"/>
      <c r="BM46" s="46"/>
      <c r="BN46" s="47"/>
      <c r="BO46" s="46"/>
      <c r="BP46" s="47"/>
      <c r="BQ46" s="46"/>
      <c r="BR46" s="47"/>
      <c r="BS46" s="46"/>
      <c r="BT46" s="47"/>
      <c r="BU46" s="46"/>
      <c r="BV46" s="47"/>
      <c r="BW46" s="46"/>
      <c r="BX46" s="47"/>
      <c r="BY46" s="46"/>
      <c r="BZ46" s="47"/>
      <c r="CA46" s="46"/>
      <c r="CB46" s="47"/>
      <c r="CC46" s="46"/>
      <c r="CD46" s="47"/>
      <c r="CE46" s="46"/>
      <c r="CF46" s="47"/>
      <c r="CG46" s="46"/>
      <c r="CH46" s="47"/>
      <c r="CI46" s="46"/>
      <c r="CJ46" s="47"/>
      <c r="CK46" s="46"/>
      <c r="CL46" s="47"/>
      <c r="CM46" s="46"/>
      <c r="CN46" s="47"/>
      <c r="CO46" s="46"/>
      <c r="CP46" s="47"/>
      <c r="CQ46" s="46"/>
      <c r="CR46" s="47"/>
      <c r="CS46" s="46"/>
      <c r="CT46" s="47"/>
      <c r="CU46" s="46"/>
      <c r="CV46" s="47"/>
      <c r="CW46" s="46"/>
      <c r="CX46" s="48"/>
      <c r="DC46" s="138"/>
      <c r="DD46" s="138"/>
      <c r="DE46" s="138"/>
      <c r="DF46" s="138"/>
      <c r="DG46" s="138"/>
      <c r="DH46" s="138"/>
      <c r="DI46" s="138"/>
      <c r="DJ46" s="138"/>
      <c r="DK46" s="138"/>
      <c r="DL46" s="138"/>
      <c r="DM46" s="138"/>
      <c r="DN46" s="138"/>
      <c r="DO46" s="138"/>
      <c r="DP46" s="138"/>
      <c r="DQ46" s="138"/>
      <c r="DR46" s="138"/>
      <c r="DS46" s="138"/>
      <c r="DT46" s="138"/>
      <c r="DU46" s="138"/>
      <c r="DV46" s="138"/>
      <c r="DW46" s="138"/>
      <c r="DX46" s="138"/>
      <c r="DY46" s="138"/>
      <c r="DZ46" s="138"/>
      <c r="EA46" s="138"/>
      <c r="EB46" s="138"/>
      <c r="EC46" s="138"/>
      <c r="ED46" s="138"/>
      <c r="EE46" s="138"/>
      <c r="EF46" s="138"/>
      <c r="EG46" s="138"/>
      <c r="EH46" s="138"/>
      <c r="EI46" s="138"/>
      <c r="EJ46" s="138"/>
      <c r="EK46" s="138"/>
      <c r="EL46" s="138"/>
      <c r="EM46" s="138"/>
      <c r="EN46" s="138"/>
      <c r="EO46" s="138"/>
      <c r="EP46" s="138"/>
      <c r="EQ46" s="138"/>
      <c r="ER46" s="138"/>
      <c r="ES46" s="138"/>
      <c r="ET46" s="138"/>
      <c r="EU46" s="138"/>
      <c r="EV46" s="138"/>
      <c r="EW46" s="138"/>
      <c r="EX46" s="138"/>
    </row>
    <row r="47" spans="1:154" s="40" customFormat="1" x14ac:dyDescent="0.3">
      <c r="B47" s="42"/>
      <c r="C47" s="42"/>
      <c r="D47" s="72"/>
      <c r="E47" s="73"/>
      <c r="F47" s="43"/>
      <c r="G47" s="43"/>
      <c r="H47" s="43"/>
      <c r="I47" s="43"/>
      <c r="J47" s="238"/>
      <c r="K47" s="239"/>
      <c r="M47" s="130"/>
      <c r="N47" s="65"/>
      <c r="O47" s="65"/>
      <c r="P47" s="95"/>
      <c r="Q47" s="233"/>
      <c r="R47" s="233"/>
      <c r="S47" s="65"/>
      <c r="T47" s="106"/>
      <c r="U47" s="50"/>
      <c r="V47" s="106"/>
      <c r="W47" s="106"/>
      <c r="X47" s="106"/>
      <c r="Y47" s="106"/>
      <c r="Z47" s="106"/>
      <c r="AA47" s="106"/>
      <c r="AB47" s="106"/>
      <c r="AC47" s="106"/>
      <c r="AD47" s="106"/>
      <c r="AE47" s="106"/>
      <c r="AF47" s="106"/>
      <c r="AH47" s="57"/>
      <c r="AI47" s="46"/>
      <c r="AJ47" s="41"/>
      <c r="AK47" s="46"/>
      <c r="AL47" s="41"/>
      <c r="AM47" s="46"/>
      <c r="AN47" s="41"/>
      <c r="AO47" s="46"/>
      <c r="AP47" s="41"/>
      <c r="AQ47" s="46"/>
      <c r="AR47" s="41"/>
      <c r="AS47" s="46"/>
      <c r="AT47" s="47"/>
      <c r="AU47" s="46"/>
      <c r="AV47" s="47"/>
      <c r="AW47" s="46"/>
      <c r="AX47" s="47"/>
      <c r="AY47" s="46"/>
      <c r="AZ47" s="47"/>
      <c r="BA47" s="46"/>
      <c r="BB47" s="47"/>
      <c r="BC47" s="46"/>
      <c r="BD47" s="47"/>
      <c r="BE47" s="46"/>
      <c r="BF47" s="47"/>
      <c r="BG47" s="46"/>
      <c r="BH47" s="47"/>
      <c r="BI47" s="46"/>
      <c r="BJ47" s="47"/>
      <c r="BK47" s="46"/>
      <c r="BL47" s="47"/>
      <c r="BM47" s="46"/>
      <c r="BN47" s="47"/>
      <c r="BO47" s="46"/>
      <c r="BP47" s="47"/>
      <c r="BQ47" s="46"/>
      <c r="BR47" s="47"/>
      <c r="BS47" s="46"/>
      <c r="BT47" s="47"/>
      <c r="BU47" s="46"/>
      <c r="BV47" s="47"/>
      <c r="BW47" s="46"/>
      <c r="BX47" s="47"/>
      <c r="BY47" s="46"/>
      <c r="BZ47" s="47"/>
      <c r="CA47" s="46"/>
      <c r="CB47" s="47"/>
      <c r="CC47" s="46"/>
      <c r="CD47" s="47"/>
      <c r="CE47" s="46"/>
      <c r="CF47" s="47"/>
      <c r="CG47" s="46"/>
      <c r="CH47" s="47"/>
      <c r="CI47" s="46"/>
      <c r="CJ47" s="47"/>
      <c r="CK47" s="46"/>
      <c r="CL47" s="47"/>
      <c r="CM47" s="46"/>
      <c r="CN47" s="47"/>
      <c r="CO47" s="46"/>
      <c r="CP47" s="47"/>
      <c r="CQ47" s="46"/>
      <c r="CR47" s="47"/>
      <c r="CS47" s="46"/>
      <c r="CT47" s="47"/>
      <c r="CU47" s="46"/>
      <c r="CV47" s="47"/>
      <c r="CW47" s="46"/>
      <c r="CX47" s="48"/>
      <c r="DC47" s="138"/>
      <c r="DD47" s="138"/>
      <c r="DE47" s="138"/>
      <c r="DF47" s="138"/>
      <c r="DG47" s="138"/>
      <c r="DH47" s="138"/>
      <c r="DI47" s="138"/>
      <c r="DJ47" s="138"/>
      <c r="DK47" s="138"/>
      <c r="DL47" s="138"/>
      <c r="DM47" s="138"/>
      <c r="DN47" s="138"/>
      <c r="DO47" s="138"/>
      <c r="DP47" s="138"/>
      <c r="DQ47" s="138"/>
      <c r="DR47" s="138"/>
      <c r="DS47" s="138"/>
      <c r="DT47" s="138"/>
      <c r="DU47" s="138"/>
      <c r="DV47" s="138"/>
      <c r="DW47" s="138"/>
      <c r="DX47" s="138"/>
      <c r="DY47" s="138"/>
      <c r="DZ47" s="138"/>
      <c r="EA47" s="138"/>
      <c r="EB47" s="138"/>
      <c r="EC47" s="138"/>
      <c r="ED47" s="138"/>
      <c r="EE47" s="138"/>
      <c r="EF47" s="138"/>
      <c r="EG47" s="138"/>
      <c r="EH47" s="138"/>
      <c r="EI47" s="138"/>
      <c r="EJ47" s="138"/>
      <c r="EK47" s="138"/>
      <c r="EL47" s="138"/>
      <c r="EM47" s="138"/>
      <c r="EN47" s="138"/>
      <c r="EO47" s="138"/>
      <c r="EP47" s="138"/>
      <c r="EQ47" s="138"/>
      <c r="ER47" s="138"/>
      <c r="ES47" s="138"/>
      <c r="ET47" s="138"/>
      <c r="EU47" s="138"/>
      <c r="EV47" s="138"/>
      <c r="EW47" s="138"/>
      <c r="EX47" s="138"/>
    </row>
    <row r="48" spans="1:154" x14ac:dyDescent="0.3">
      <c r="M48" s="2"/>
      <c r="N48" s="2"/>
      <c r="O48" s="2"/>
      <c r="P48" s="2"/>
      <c r="Q48" s="8"/>
      <c r="R48" s="8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</row>
    <row r="49" spans="13:32" x14ac:dyDescent="0.3">
      <c r="M49" s="2"/>
      <c r="N49" s="2"/>
      <c r="O49" s="2"/>
      <c r="P49" s="2"/>
      <c r="Q49" s="8"/>
      <c r="R49" s="8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</row>
    <row r="50" spans="13:32" x14ac:dyDescent="0.3">
      <c r="M50" s="2"/>
      <c r="N50" s="2"/>
      <c r="O50" s="2"/>
      <c r="P50" s="2"/>
      <c r="Q50" s="8"/>
      <c r="R50" s="8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</row>
    <row r="51" spans="13:32" x14ac:dyDescent="0.3">
      <c r="M51" s="2"/>
      <c r="N51" s="2"/>
      <c r="O51" s="2"/>
      <c r="P51" s="2"/>
      <c r="Q51" s="8"/>
      <c r="R51" s="8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</row>
    <row r="52" spans="13:32" x14ac:dyDescent="0.3">
      <c r="M52" s="2"/>
      <c r="N52" s="2"/>
      <c r="O52" s="2"/>
      <c r="P52" s="2"/>
      <c r="Q52" s="8"/>
      <c r="R52" s="8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</row>
    <row r="53" spans="13:32" x14ac:dyDescent="0.3">
      <c r="M53" s="2"/>
      <c r="N53" s="2"/>
      <c r="O53" s="2"/>
      <c r="P53" s="2"/>
      <c r="Q53" s="8"/>
      <c r="R53" s="8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</row>
    <row r="54" spans="13:32" x14ac:dyDescent="0.3">
      <c r="M54" s="2"/>
      <c r="N54" s="2"/>
      <c r="O54" s="2"/>
      <c r="P54" s="2"/>
      <c r="Q54" s="8"/>
      <c r="R54" s="8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</row>
    <row r="55" spans="13:32" x14ac:dyDescent="0.3">
      <c r="M55" s="2"/>
      <c r="N55" s="2"/>
      <c r="O55" s="2"/>
      <c r="P55" s="2"/>
      <c r="Q55" s="8"/>
      <c r="R55" s="8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</row>
    <row r="56" spans="13:32" x14ac:dyDescent="0.3">
      <c r="M56" s="2"/>
      <c r="N56" s="2"/>
      <c r="O56" s="2"/>
      <c r="P56" s="2"/>
      <c r="Q56" s="8"/>
      <c r="R56" s="8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</row>
    <row r="57" spans="13:32" x14ac:dyDescent="0.3">
      <c r="M57" s="2"/>
      <c r="N57" s="2"/>
      <c r="O57" s="2"/>
      <c r="P57" s="2"/>
      <c r="Q57" s="8"/>
      <c r="R57" s="8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</row>
    <row r="58" spans="13:32" x14ac:dyDescent="0.3">
      <c r="M58" s="2"/>
      <c r="N58" s="2"/>
      <c r="O58" s="2"/>
      <c r="P58" s="2"/>
      <c r="Q58" s="8"/>
      <c r="R58" s="8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</row>
    <row r="59" spans="13:32" x14ac:dyDescent="0.3">
      <c r="M59" s="2"/>
      <c r="N59" s="2"/>
      <c r="O59" s="2"/>
      <c r="P59" s="2"/>
      <c r="Q59" s="8"/>
      <c r="R59" s="8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</row>
    <row r="60" spans="13:32" x14ac:dyDescent="0.3">
      <c r="M60" s="2"/>
      <c r="N60" s="2"/>
      <c r="O60" s="2"/>
      <c r="P60" s="2"/>
      <c r="Q60" s="8"/>
      <c r="R60" s="8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</row>
    <row r="61" spans="13:32" x14ac:dyDescent="0.3">
      <c r="M61" s="2"/>
      <c r="N61" s="2"/>
      <c r="O61" s="2"/>
      <c r="P61" s="2"/>
      <c r="Q61" s="8"/>
      <c r="R61" s="8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</row>
    <row r="62" spans="13:32" x14ac:dyDescent="0.3">
      <c r="M62" s="2"/>
      <c r="N62" s="2"/>
      <c r="O62" s="2"/>
      <c r="P62" s="2"/>
      <c r="Q62" s="8"/>
      <c r="R62" s="8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</row>
    <row r="63" spans="13:32" x14ac:dyDescent="0.3">
      <c r="M63" s="2"/>
      <c r="N63" s="2"/>
      <c r="O63" s="2"/>
      <c r="P63" s="2"/>
      <c r="Q63" s="8"/>
      <c r="R63" s="8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</row>
    <row r="64" spans="13:32" x14ac:dyDescent="0.3">
      <c r="M64" s="2"/>
      <c r="N64" s="2"/>
      <c r="O64" s="2"/>
      <c r="P64" s="2"/>
      <c r="Q64" s="8"/>
      <c r="R64" s="8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</row>
    <row r="65" spans="13:32" x14ac:dyDescent="0.3">
      <c r="M65" s="2"/>
      <c r="N65" s="2"/>
      <c r="O65" s="2"/>
      <c r="P65" s="2"/>
      <c r="Q65" s="8"/>
      <c r="R65" s="8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</row>
    <row r="66" spans="13:32" x14ac:dyDescent="0.3">
      <c r="M66" s="2"/>
      <c r="N66" s="2"/>
      <c r="O66" s="2"/>
      <c r="P66" s="2"/>
      <c r="Q66" s="8"/>
      <c r="R66" s="8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</row>
    <row r="67" spans="13:32" x14ac:dyDescent="0.3">
      <c r="M67" s="2"/>
      <c r="N67" s="2"/>
      <c r="O67" s="2"/>
      <c r="P67" s="2"/>
      <c r="Q67" s="8"/>
      <c r="R67" s="8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</row>
    <row r="68" spans="13:32" x14ac:dyDescent="0.3">
      <c r="M68" s="2"/>
      <c r="N68" s="2"/>
      <c r="O68" s="2"/>
      <c r="P68" s="2"/>
      <c r="Q68" s="8"/>
      <c r="R68" s="8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</row>
    <row r="69" spans="13:32" x14ac:dyDescent="0.3">
      <c r="M69" s="2"/>
      <c r="N69" s="2"/>
      <c r="O69" s="2"/>
      <c r="P69" s="2"/>
      <c r="Q69" s="8"/>
      <c r="R69" s="8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</row>
    <row r="70" spans="13:32" x14ac:dyDescent="0.3">
      <c r="M70" s="2"/>
      <c r="N70" s="2"/>
      <c r="O70" s="2"/>
      <c r="P70" s="2"/>
      <c r="Q70" s="8"/>
      <c r="R70" s="8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</row>
    <row r="71" spans="13:32" x14ac:dyDescent="0.3">
      <c r="M71" s="2"/>
      <c r="N71" s="2"/>
      <c r="O71" s="2"/>
      <c r="P71" s="2"/>
      <c r="Q71" s="8"/>
      <c r="R71" s="8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</row>
    <row r="72" spans="13:32" x14ac:dyDescent="0.3">
      <c r="M72" s="2"/>
      <c r="N72" s="2"/>
      <c r="O72" s="2"/>
      <c r="P72" s="2"/>
      <c r="Q72" s="8"/>
      <c r="R72" s="8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</row>
    <row r="73" spans="13:32" x14ac:dyDescent="0.3">
      <c r="M73" s="2"/>
      <c r="N73" s="2"/>
      <c r="O73" s="2"/>
      <c r="P73" s="2"/>
      <c r="Q73" s="8"/>
      <c r="R73" s="8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</row>
    <row r="74" spans="13:32" x14ac:dyDescent="0.3">
      <c r="M74" s="2"/>
      <c r="N74" s="2"/>
      <c r="O74" s="2"/>
      <c r="P74" s="2"/>
      <c r="Q74" s="8"/>
      <c r="R74" s="8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</row>
    <row r="75" spans="13:32" x14ac:dyDescent="0.3">
      <c r="M75" s="2"/>
      <c r="N75" s="2"/>
      <c r="O75" s="2"/>
      <c r="P75" s="2"/>
      <c r="Q75" s="8"/>
      <c r="R75" s="8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</row>
    <row r="76" spans="13:32" x14ac:dyDescent="0.3">
      <c r="M76" s="2"/>
      <c r="N76" s="2"/>
      <c r="O76" s="2"/>
      <c r="P76" s="2"/>
      <c r="Q76" s="8"/>
      <c r="R76" s="8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</row>
    <row r="77" spans="13:32" x14ac:dyDescent="0.3">
      <c r="M77" s="2"/>
      <c r="N77" s="2"/>
      <c r="O77" s="2"/>
      <c r="P77" s="2"/>
      <c r="Q77" s="8"/>
      <c r="R77" s="8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</row>
    <row r="78" spans="13:32" x14ac:dyDescent="0.3">
      <c r="M78" s="2"/>
      <c r="N78" s="2"/>
      <c r="O78" s="2"/>
      <c r="P78" s="2"/>
      <c r="Q78" s="8"/>
      <c r="R78" s="8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</row>
    <row r="79" spans="13:32" x14ac:dyDescent="0.3">
      <c r="M79" s="2"/>
      <c r="N79" s="2"/>
      <c r="O79" s="2"/>
      <c r="P79" s="2"/>
      <c r="Q79" s="8"/>
      <c r="R79" s="8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</row>
    <row r="80" spans="13:32" x14ac:dyDescent="0.3">
      <c r="M80" s="2"/>
      <c r="N80" s="2"/>
      <c r="O80" s="2"/>
      <c r="P80" s="2"/>
      <c r="Q80" s="8"/>
      <c r="R80" s="8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</row>
    <row r="81" spans="13:32" x14ac:dyDescent="0.3">
      <c r="M81" s="2"/>
      <c r="N81" s="2"/>
      <c r="O81" s="2"/>
      <c r="P81" s="2"/>
      <c r="Q81" s="8"/>
      <c r="R81" s="8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</row>
    <row r="82" spans="13:32" x14ac:dyDescent="0.3">
      <c r="M82" s="2"/>
      <c r="N82" s="2"/>
      <c r="O82" s="2"/>
      <c r="P82" s="2"/>
      <c r="Q82" s="8"/>
      <c r="R82" s="8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</row>
    <row r="83" spans="13:32" x14ac:dyDescent="0.3">
      <c r="M83" s="2"/>
      <c r="N83" s="2"/>
      <c r="O83" s="2"/>
      <c r="P83" s="2"/>
      <c r="Q83" s="8"/>
      <c r="R83" s="8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</row>
    <row r="84" spans="13:32" x14ac:dyDescent="0.3">
      <c r="M84" s="2"/>
      <c r="N84" s="2"/>
      <c r="O84" s="2"/>
      <c r="P84" s="2"/>
      <c r="Q84" s="8"/>
      <c r="R84" s="8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</row>
    <row r="85" spans="13:32" x14ac:dyDescent="0.3">
      <c r="M85" s="2"/>
      <c r="N85" s="2"/>
      <c r="O85" s="2"/>
      <c r="P85" s="2"/>
      <c r="Q85" s="8"/>
      <c r="R85" s="8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</row>
    <row r="86" spans="13:32" x14ac:dyDescent="0.3">
      <c r="M86" s="2"/>
      <c r="N86" s="2"/>
      <c r="O86" s="2"/>
      <c r="P86" s="2"/>
      <c r="Q86" s="8"/>
      <c r="R86" s="8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</row>
    <row r="87" spans="13:32" x14ac:dyDescent="0.3">
      <c r="M87" s="2"/>
      <c r="N87" s="2"/>
      <c r="O87" s="2"/>
      <c r="P87" s="2"/>
      <c r="Q87" s="8"/>
      <c r="R87" s="8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</row>
    <row r="88" spans="13:32" x14ac:dyDescent="0.3">
      <c r="M88" s="2"/>
      <c r="N88" s="2"/>
      <c r="O88" s="2"/>
      <c r="P88" s="2"/>
      <c r="Q88" s="8"/>
      <c r="R88" s="8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</row>
    <row r="89" spans="13:32" x14ac:dyDescent="0.3">
      <c r="M89" s="2"/>
      <c r="N89" s="2"/>
      <c r="O89" s="2"/>
      <c r="P89" s="2"/>
      <c r="Q89" s="8"/>
      <c r="R89" s="8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</row>
    <row r="90" spans="13:32" x14ac:dyDescent="0.3">
      <c r="M90" s="2"/>
      <c r="N90" s="2"/>
      <c r="O90" s="2"/>
      <c r="P90" s="2"/>
      <c r="Q90" s="8"/>
      <c r="R90" s="8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</row>
    <row r="91" spans="13:32" x14ac:dyDescent="0.3">
      <c r="M91" s="2"/>
      <c r="N91" s="2"/>
      <c r="O91" s="2"/>
      <c r="P91" s="2"/>
      <c r="Q91" s="8"/>
      <c r="R91" s="8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</row>
  </sheetData>
  <mergeCells count="79">
    <mergeCell ref="AI3:AI4"/>
    <mergeCell ref="B3:B4"/>
    <mergeCell ref="C3:C4"/>
    <mergeCell ref="D3:D4"/>
    <mergeCell ref="F3:F4"/>
    <mergeCell ref="H3:I3"/>
    <mergeCell ref="M3:M4"/>
    <mergeCell ref="N3:N4"/>
    <mergeCell ref="O3:P3"/>
    <mergeCell ref="S3:S4"/>
    <mergeCell ref="T3:T4"/>
    <mergeCell ref="AH3:AH4"/>
    <mergeCell ref="AU3:AU4"/>
    <mergeCell ref="AJ3:AJ4"/>
    <mergeCell ref="AK3:AK4"/>
    <mergeCell ref="AL3:AL4"/>
    <mergeCell ref="AM3:AM4"/>
    <mergeCell ref="AN3:AN4"/>
    <mergeCell ref="AO3:AO4"/>
    <mergeCell ref="AP3:AP4"/>
    <mergeCell ref="AQ3:AQ4"/>
    <mergeCell ref="AR3:AR4"/>
    <mergeCell ref="AS3:AS4"/>
    <mergeCell ref="AT3:AT4"/>
    <mergeCell ref="BG3:BG4"/>
    <mergeCell ref="AV3:AV4"/>
    <mergeCell ref="AW3:AW4"/>
    <mergeCell ref="AX3:AX4"/>
    <mergeCell ref="AY3:AY4"/>
    <mergeCell ref="AZ3:AZ4"/>
    <mergeCell ref="BA3:BA4"/>
    <mergeCell ref="BB3:BB4"/>
    <mergeCell ref="BC3:BC4"/>
    <mergeCell ref="BD3:BD4"/>
    <mergeCell ref="BE3:BE4"/>
    <mergeCell ref="BF3:BF4"/>
    <mergeCell ref="BS3:BS4"/>
    <mergeCell ref="BH3:BH4"/>
    <mergeCell ref="BI3:BI4"/>
    <mergeCell ref="BJ3:BJ4"/>
    <mergeCell ref="BK3:BK4"/>
    <mergeCell ref="BL3:BL4"/>
    <mergeCell ref="BM3:BM4"/>
    <mergeCell ref="BN3:BN4"/>
    <mergeCell ref="BO3:BO4"/>
    <mergeCell ref="BP3:BP4"/>
    <mergeCell ref="BQ3:BQ4"/>
    <mergeCell ref="BR3:BR4"/>
    <mergeCell ref="CE3:CE4"/>
    <mergeCell ref="BT3:BT4"/>
    <mergeCell ref="BU3:BU4"/>
    <mergeCell ref="BV3:BV4"/>
    <mergeCell ref="BW3:BW4"/>
    <mergeCell ref="BX3:BX4"/>
    <mergeCell ref="BY3:BY4"/>
    <mergeCell ref="BZ3:BZ4"/>
    <mergeCell ref="CA3:CA4"/>
    <mergeCell ref="CB3:CB4"/>
    <mergeCell ref="CC3:CC4"/>
    <mergeCell ref="CD3:CD4"/>
    <mergeCell ref="CQ3:CQ4"/>
    <mergeCell ref="CF3:CF4"/>
    <mergeCell ref="CG3:CG4"/>
    <mergeCell ref="CH3:CH4"/>
    <mergeCell ref="CI3:CI4"/>
    <mergeCell ref="CJ3:CJ4"/>
    <mergeCell ref="CK3:CK4"/>
    <mergeCell ref="CL3:CL4"/>
    <mergeCell ref="CM3:CM4"/>
    <mergeCell ref="CN3:CN4"/>
    <mergeCell ref="CO3:CO4"/>
    <mergeCell ref="CP3:CP4"/>
    <mergeCell ref="CX3:CX4"/>
    <mergeCell ref="CR3:CR4"/>
    <mergeCell ref="CS3:CS4"/>
    <mergeCell ref="CT3:CT4"/>
    <mergeCell ref="CU3:CU4"/>
    <mergeCell ref="CV3:CV4"/>
    <mergeCell ref="CW3:CW4"/>
  </mergeCells>
  <conditionalFormatting sqref="E5:J9 J36:J41 E11:J13 E16:J35">
    <cfRule type="cellIs" priority="17" operator="equal">
      <formula>0</formula>
    </cfRule>
    <cfRule type="cellIs" priority="18" operator="equal">
      <formula>0</formula>
    </cfRule>
  </conditionalFormatting>
  <conditionalFormatting sqref="E5:J9 J36:J41 E11:J13 E16:J35">
    <cfRule type="cellIs" dxfId="5" priority="16" operator="equal">
      <formula>0</formula>
    </cfRule>
  </conditionalFormatting>
  <conditionalFormatting sqref="E10:J10">
    <cfRule type="cellIs" priority="14" operator="equal">
      <formula>0</formula>
    </cfRule>
    <cfRule type="cellIs" priority="15" operator="equal">
      <formula>0</formula>
    </cfRule>
  </conditionalFormatting>
  <conditionalFormatting sqref="E10:J10">
    <cfRule type="cellIs" dxfId="4" priority="13" operator="equal">
      <formula>0</formula>
    </cfRule>
  </conditionalFormatting>
  <conditionalFormatting sqref="E35:I37">
    <cfRule type="cellIs" priority="11" operator="equal">
      <formula>0</formula>
    </cfRule>
    <cfRule type="cellIs" priority="12" operator="equal">
      <formula>0</formula>
    </cfRule>
  </conditionalFormatting>
  <conditionalFormatting sqref="E35:I37">
    <cfRule type="cellIs" dxfId="3" priority="10" operator="equal">
      <formula>0</formula>
    </cfRule>
  </conditionalFormatting>
  <conditionalFormatting sqref="E38:I41">
    <cfRule type="cellIs" dxfId="2" priority="1" operator="equal">
      <formula>0</formula>
    </cfRule>
  </conditionalFormatting>
  <conditionalFormatting sqref="E14:J14">
    <cfRule type="cellIs" priority="8" operator="equal">
      <formula>0</formula>
    </cfRule>
    <cfRule type="cellIs" priority="9" operator="equal">
      <formula>0</formula>
    </cfRule>
  </conditionalFormatting>
  <conditionalFormatting sqref="E14:J14">
    <cfRule type="cellIs" dxfId="1" priority="7" operator="equal">
      <formula>0</formula>
    </cfRule>
  </conditionalFormatting>
  <conditionalFormatting sqref="E15:J15">
    <cfRule type="cellIs" priority="5" operator="equal">
      <formula>0</formula>
    </cfRule>
    <cfRule type="cellIs" priority="6" operator="equal">
      <formula>0</formula>
    </cfRule>
  </conditionalFormatting>
  <conditionalFormatting sqref="E15:J15">
    <cfRule type="cellIs" dxfId="0" priority="4" operator="equal">
      <formula>0</formula>
    </cfRule>
  </conditionalFormatting>
  <conditionalFormatting sqref="E38:I41">
    <cfRule type="cellIs" priority="2" operator="equal">
      <formula>0</formula>
    </cfRule>
    <cfRule type="cellIs" priority="3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مکمل قزل آلا</vt:lpstr>
      <vt:lpstr>مکمل کپور</vt:lpstr>
      <vt:lpstr>قزل آلا</vt:lpstr>
      <vt:lpstr>کپور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farhad foroudi</dc:creator>
  <cp:lastModifiedBy>farhad foroudi</cp:lastModifiedBy>
  <dcterms:created xsi:type="dcterms:W3CDTF">2022-10-13T11:14:19Z</dcterms:created>
  <dcterms:modified xsi:type="dcterms:W3CDTF">2023-09-11T04:44:49Z</dcterms:modified>
</cp:coreProperties>
</file>